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/>
  </bookViews>
  <sheets>
    <sheet name="Orçamento " sheetId="6" r:id="rId1"/>
    <sheet name="Cronograma" sheetId="4" r:id="rId2"/>
    <sheet name="BDI" sheetId="7" r:id="rId3"/>
  </sheets>
  <definedNames>
    <definedName name="_xlnm.Print_Area" localSheetId="2">BDI!$A$1:$F$38</definedName>
    <definedName name="_xlnm.Print_Area" localSheetId="0">'Orçamento '!$A$1:$K$224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4"/>
  <c r="J215" i="6" l="1"/>
  <c r="C20" i="7"/>
  <c r="R29" i="4"/>
  <c r="R30"/>
  <c r="R31"/>
  <c r="R32"/>
  <c r="R33"/>
  <c r="R34"/>
  <c r="R28"/>
  <c r="Q33"/>
  <c r="Q34"/>
  <c r="Q35"/>
  <c r="Q32"/>
  <c r="Q31"/>
  <c r="Q26"/>
  <c r="Q25"/>
  <c r="Q27"/>
  <c r="Q24"/>
  <c r="Q18"/>
  <c r="Q19"/>
  <c r="Q20"/>
  <c r="Q21"/>
  <c r="Q22"/>
  <c r="Q23"/>
  <c r="Q28"/>
  <c r="Q29"/>
  <c r="Q30"/>
  <c r="Q17"/>
  <c r="Q16"/>
  <c r="F36"/>
  <c r="F29"/>
  <c r="F30"/>
  <c r="P36"/>
  <c r="P31"/>
  <c r="P32"/>
  <c r="P33"/>
  <c r="P34"/>
  <c r="J36"/>
  <c r="J29"/>
  <c r="J30"/>
  <c r="H29"/>
  <c r="L36"/>
  <c r="N36"/>
  <c r="H36"/>
  <c r="H30"/>
  <c r="N31"/>
  <c r="N32"/>
  <c r="N33"/>
  <c r="N34"/>
  <c r="L31"/>
  <c r="L32"/>
  <c r="D34"/>
  <c r="D33"/>
  <c r="D32"/>
  <c r="D31"/>
  <c r="D30"/>
  <c r="D29"/>
  <c r="D25"/>
  <c r="P25" s="1"/>
  <c r="D27"/>
  <c r="P27" s="1"/>
  <c r="D28"/>
  <c r="D35"/>
  <c r="P35" s="1"/>
  <c r="D17"/>
  <c r="F17" s="1"/>
  <c r="D16"/>
  <c r="F16" s="1"/>
  <c r="J138" i="6"/>
  <c r="J57"/>
  <c r="H54"/>
  <c r="J54" s="1"/>
  <c r="H40"/>
  <c r="J40" s="1"/>
  <c r="R25" i="4" l="1"/>
  <c r="N28"/>
  <c r="L28"/>
  <c r="R17"/>
  <c r="H27"/>
  <c r="R35"/>
  <c r="N27"/>
  <c r="R16"/>
  <c r="R27"/>
  <c r="L27"/>
  <c r="E148" i="6" l="1"/>
  <c r="E156"/>
  <c r="E155"/>
  <c r="E154"/>
  <c r="E153"/>
  <c r="E152"/>
  <c r="E150"/>
  <c r="E149"/>
  <c r="E147"/>
  <c r="E146"/>
  <c r="E145"/>
  <c r="E144"/>
  <c r="E143"/>
  <c r="H195" l="1"/>
  <c r="J195" s="1"/>
  <c r="H194"/>
  <c r="J194" s="1"/>
  <c r="H169"/>
  <c r="J169" s="1"/>
  <c r="H174" l="1"/>
  <c r="J174" s="1"/>
  <c r="H173"/>
  <c r="J173" s="1"/>
  <c r="H172"/>
  <c r="J172" s="1"/>
  <c r="H171"/>
  <c r="J171" s="1"/>
  <c r="H170"/>
  <c r="J170" s="1"/>
  <c r="H168"/>
  <c r="J168" s="1"/>
  <c r="K167"/>
  <c r="H167"/>
  <c r="J167" s="1"/>
  <c r="H166"/>
  <c r="J166" s="1"/>
  <c r="K165"/>
  <c r="K168" s="1"/>
  <c r="H165"/>
  <c r="J165" s="1"/>
  <c r="H164"/>
  <c r="J164" s="1"/>
  <c r="H163"/>
  <c r="J163" s="1"/>
  <c r="H162"/>
  <c r="J162" s="1"/>
  <c r="H161"/>
  <c r="J161" l="1"/>
  <c r="J175" s="1"/>
  <c r="H175"/>
  <c r="H91"/>
  <c r="J91" s="1"/>
  <c r="H86"/>
  <c r="J86" s="1"/>
  <c r="H85"/>
  <c r="J85" s="1"/>
  <c r="H108"/>
  <c r="J108" s="1"/>
  <c r="H94"/>
  <c r="J94" s="1"/>
  <c r="H23" l="1"/>
  <c r="H22"/>
  <c r="H65"/>
  <c r="J65" s="1"/>
  <c r="J22" l="1"/>
  <c r="H24"/>
  <c r="J23"/>
  <c r="K149"/>
  <c r="H150"/>
  <c r="J150" s="1"/>
  <c r="H149"/>
  <c r="J149" s="1"/>
  <c r="K147"/>
  <c r="H148"/>
  <c r="J148" s="1"/>
  <c r="H147"/>
  <c r="J147" s="1"/>
  <c r="H146"/>
  <c r="J146" s="1"/>
  <c r="H145"/>
  <c r="J145" s="1"/>
  <c r="H144"/>
  <c r="J144" s="1"/>
  <c r="H143"/>
  <c r="J143" s="1"/>
  <c r="K150" l="1"/>
  <c r="J24"/>
  <c r="H41"/>
  <c r="J41" s="1"/>
  <c r="H122"/>
  <c r="J122" s="1"/>
  <c r="H202" l="1"/>
  <c r="J202" s="1"/>
  <c r="K193"/>
  <c r="H193"/>
  <c r="J193" s="1"/>
  <c r="K192"/>
  <c r="H192"/>
  <c r="J192" s="1"/>
  <c r="H191"/>
  <c r="J191" s="1"/>
  <c r="K190"/>
  <c r="H190"/>
  <c r="J190" s="1"/>
  <c r="H189"/>
  <c r="J189" s="1"/>
  <c r="H188"/>
  <c r="J188" s="1"/>
  <c r="H187"/>
  <c r="J187" s="1"/>
  <c r="H186"/>
  <c r="J186" s="1"/>
  <c r="H201"/>
  <c r="H200"/>
  <c r="J200" s="1"/>
  <c r="H199"/>
  <c r="J199" s="1"/>
  <c r="H198"/>
  <c r="J198" s="1"/>
  <c r="H197"/>
  <c r="J197" s="1"/>
  <c r="J201" l="1"/>
  <c r="H215" l="1"/>
  <c r="H214"/>
  <c r="J214" s="1"/>
  <c r="H152"/>
  <c r="J152" s="1"/>
  <c r="H156"/>
  <c r="J156" s="1"/>
  <c r="H155"/>
  <c r="J155" s="1"/>
  <c r="H154"/>
  <c r="J154" s="1"/>
  <c r="H153"/>
  <c r="J153" s="1"/>
  <c r="H151"/>
  <c r="H196"/>
  <c r="H182"/>
  <c r="J182" s="1"/>
  <c r="H181"/>
  <c r="J181" s="1"/>
  <c r="H180"/>
  <c r="J180" s="1"/>
  <c r="H179"/>
  <c r="J179" s="1"/>
  <c r="H178"/>
  <c r="J178" s="1"/>
  <c r="H51"/>
  <c r="J51" s="1"/>
  <c r="H39"/>
  <c r="J196" l="1"/>
  <c r="J203" s="1"/>
  <c r="H203"/>
  <c r="J151"/>
  <c r="J157" s="1"/>
  <c r="J219" s="1"/>
  <c r="J221" s="1"/>
  <c r="H157"/>
  <c r="J39"/>
  <c r="J183"/>
  <c r="H183"/>
  <c r="J216"/>
  <c r="H216"/>
  <c r="H31"/>
  <c r="J31" s="1"/>
  <c r="H210" l="1"/>
  <c r="J210" s="1"/>
  <c r="H209"/>
  <c r="J209" s="1"/>
  <c r="H208"/>
  <c r="J208" s="1"/>
  <c r="H207"/>
  <c r="H211" l="1"/>
  <c r="J207"/>
  <c r="J211" s="1"/>
  <c r="L155" l="1"/>
  <c r="H50"/>
  <c r="J50" s="1"/>
  <c r="H56" l="1"/>
  <c r="J56" s="1"/>
  <c r="H131" l="1"/>
  <c r="J131" s="1"/>
  <c r="H130"/>
  <c r="J130" s="1"/>
  <c r="H129"/>
  <c r="J129" s="1"/>
  <c r="H128"/>
  <c r="J128" s="1"/>
  <c r="H127"/>
  <c r="J127" l="1"/>
  <c r="J132" s="1"/>
  <c r="H132"/>
  <c r="H78"/>
  <c r="J78" s="1"/>
  <c r="H77"/>
  <c r="J77" s="1"/>
  <c r="H90"/>
  <c r="J90" s="1"/>
  <c r="H83"/>
  <c r="J83" s="1"/>
  <c r="H87"/>
  <c r="J87" s="1"/>
  <c r="H61" l="1"/>
  <c r="J61" s="1"/>
  <c r="C8" i="4"/>
  <c r="H62" i="6" l="1"/>
  <c r="J62" s="1"/>
  <c r="H63"/>
  <c r="J63" s="1"/>
  <c r="H35"/>
  <c r="J35" s="1"/>
  <c r="H64" l="1"/>
  <c r="J64" s="1"/>
  <c r="H111" l="1"/>
  <c r="J111" s="1"/>
  <c r="H53"/>
  <c r="J53" s="1"/>
  <c r="H55" l="1"/>
  <c r="H52"/>
  <c r="J52" s="1"/>
  <c r="H49"/>
  <c r="J49" s="1"/>
  <c r="H76"/>
  <c r="J76" s="1"/>
  <c r="H75"/>
  <c r="J75" s="1"/>
  <c r="H74"/>
  <c r="J74" s="1"/>
  <c r="H110"/>
  <c r="J110" s="1"/>
  <c r="H71"/>
  <c r="J71" s="1"/>
  <c r="H70"/>
  <c r="J70" s="1"/>
  <c r="J79" l="1"/>
  <c r="H79"/>
  <c r="J55"/>
  <c r="H69" l="1"/>
  <c r="J69" s="1"/>
  <c r="D24" i="4" l="1"/>
  <c r="H97" i="6"/>
  <c r="J97" s="1"/>
  <c r="H96"/>
  <c r="J96" s="1"/>
  <c r="H95"/>
  <c r="J95" s="1"/>
  <c r="H93"/>
  <c r="J93" s="1"/>
  <c r="R24" i="4" l="1"/>
  <c r="N24"/>
  <c r="H88" i="6"/>
  <c r="J88" s="1"/>
  <c r="H89"/>
  <c r="J89" s="1"/>
  <c r="H92"/>
  <c r="H81"/>
  <c r="H113"/>
  <c r="J113" s="1"/>
  <c r="H112"/>
  <c r="J112" s="1"/>
  <c r="H117"/>
  <c r="J117" s="1"/>
  <c r="H115"/>
  <c r="J115" s="1"/>
  <c r="H109"/>
  <c r="J109" s="1"/>
  <c r="H114"/>
  <c r="J114" s="1"/>
  <c r="H116"/>
  <c r="J116" s="1"/>
  <c r="H119"/>
  <c r="J119" s="1"/>
  <c r="H120"/>
  <c r="J120" s="1"/>
  <c r="H121"/>
  <c r="J121" s="1"/>
  <c r="H123"/>
  <c r="J123" s="1"/>
  <c r="J81" l="1"/>
  <c r="H98"/>
  <c r="J92"/>
  <c r="H107"/>
  <c r="J107" s="1"/>
  <c r="H106"/>
  <c r="H68"/>
  <c r="H72" s="1"/>
  <c r="J98" l="1"/>
  <c r="J106"/>
  <c r="J68"/>
  <c r="J72" s="1"/>
  <c r="H48"/>
  <c r="H57" s="1"/>
  <c r="H118"/>
  <c r="J118" s="1"/>
  <c r="H60"/>
  <c r="J60" s="1"/>
  <c r="H59"/>
  <c r="H45"/>
  <c r="J45" s="1"/>
  <c r="H44"/>
  <c r="H27"/>
  <c r="H28"/>
  <c r="J28" s="1"/>
  <c r="H29"/>
  <c r="J29" s="1"/>
  <c r="H30"/>
  <c r="J30" s="1"/>
  <c r="J44" l="1"/>
  <c r="J46" s="1"/>
  <c r="D20" i="4" s="1"/>
  <c r="H46" i="6"/>
  <c r="J27"/>
  <c r="J32" s="1"/>
  <c r="H32"/>
  <c r="J59"/>
  <c r="J66" s="1"/>
  <c r="H66"/>
  <c r="J124"/>
  <c r="H124"/>
  <c r="J48"/>
  <c r="D23" i="4"/>
  <c r="H101" i="6"/>
  <c r="J101" s="1"/>
  <c r="H102"/>
  <c r="J102" s="1"/>
  <c r="H100"/>
  <c r="H103"/>
  <c r="J103" s="1"/>
  <c r="H36"/>
  <c r="H37"/>
  <c r="J37" s="1"/>
  <c r="H38"/>
  <c r="J38" s="1"/>
  <c r="H34"/>
  <c r="H135"/>
  <c r="J135" s="1"/>
  <c r="R20" i="4" l="1"/>
  <c r="L20"/>
  <c r="R23"/>
  <c r="N23"/>
  <c r="H104" i="6"/>
  <c r="J34"/>
  <c r="H42"/>
  <c r="J36"/>
  <c r="J100"/>
  <c r="J104" s="1"/>
  <c r="J136"/>
  <c r="H136"/>
  <c r="D21" i="4"/>
  <c r="D22"/>
  <c r="N22" l="1"/>
  <c r="L22"/>
  <c r="R22"/>
  <c r="R21"/>
  <c r="N21"/>
  <c r="L21"/>
  <c r="J42" i="6"/>
  <c r="D19" i="4" s="1"/>
  <c r="D18"/>
  <c r="D26"/>
  <c r="H16" i="6"/>
  <c r="H17"/>
  <c r="J17" s="1"/>
  <c r="P26" i="4" l="1"/>
  <c r="R26"/>
  <c r="H18"/>
  <c r="F18"/>
  <c r="R18"/>
  <c r="H19"/>
  <c r="R19"/>
  <c r="J19"/>
  <c r="L19"/>
  <c r="J16" i="6"/>
  <c r="J19" s="1"/>
  <c r="H19"/>
  <c r="H138" s="1"/>
  <c r="N19" i="4"/>
  <c r="C9"/>
  <c r="R36" l="1"/>
  <c r="D36"/>
  <c r="C16" i="7"/>
</calcChain>
</file>

<file path=xl/sharedStrings.xml><?xml version="1.0" encoding="utf-8"?>
<sst xmlns="http://schemas.openxmlformats.org/spreadsheetml/2006/main" count="565" uniqueCount="343">
  <si>
    <t>Item/Descrição</t>
  </si>
  <si>
    <t>Qtd.</t>
  </si>
  <si>
    <t>Un</t>
  </si>
  <si>
    <t>Total</t>
  </si>
  <si>
    <t>Rodovia SC 456 - Km 15, s/nº - Centro - CEP: 89618-000  -  Telefone/Fax: (49) 3546 0194</t>
  </si>
  <si>
    <r>
      <rPr>
        <b/>
        <sz val="12"/>
        <color rgb="FF2E2E2E"/>
        <rFont val="Trebuchet MS"/>
        <family val="2"/>
      </rPr>
      <t>Prefeitura Municipal de Monte Carlo</t>
    </r>
    <r>
      <rPr>
        <b/>
        <sz val="10"/>
        <color rgb="FF2E2E2E"/>
        <rFont val="Trebuchet MS"/>
        <family val="2"/>
      </rPr>
      <t xml:space="preserve">   -   </t>
    </r>
    <r>
      <rPr>
        <b/>
        <sz val="9"/>
        <color rgb="FF2E2E2E"/>
        <rFont val="Trebuchet MS"/>
        <family val="2"/>
      </rPr>
      <t xml:space="preserve">CNPJ: 95.996.104/0001-04 </t>
    </r>
  </si>
  <si>
    <t>Obra:</t>
  </si>
  <si>
    <t>Local:</t>
  </si>
  <si>
    <t>Data:</t>
  </si>
  <si>
    <t>1. Serviços Preliminares</t>
  </si>
  <si>
    <t>m²</t>
  </si>
  <si>
    <t>m³</t>
  </si>
  <si>
    <t>Valor</t>
  </si>
  <si>
    <t>Mês 01</t>
  </si>
  <si>
    <t>Mês 02</t>
  </si>
  <si>
    <t>%</t>
  </si>
  <si>
    <t>R$</t>
  </si>
  <si>
    <t xml:space="preserve"> </t>
  </si>
  <si>
    <t xml:space="preserve">Prefeitura Municipal de Monte Carlo   -   CNPJ: 95.996.104/0001-04 </t>
  </si>
  <si>
    <t xml:space="preserve">  </t>
  </si>
  <si>
    <t xml:space="preserve">               Total de Serviços Preliminares</t>
  </si>
  <si>
    <t>Total de Pintura</t>
  </si>
  <si>
    <t>Unid.</t>
  </si>
  <si>
    <t>Total de Alvenaria</t>
  </si>
  <si>
    <t>LASTRO MANUAL COM BRITA E=5CM</t>
  </si>
  <si>
    <t>CONTRAPISO EM ARGAMASSA TRACO 1:4 (CIMENTO E AREIA), ESPESSURA 5CM - PREPARO COM BETONEIRA</t>
  </si>
  <si>
    <t>Total de Pavimentação</t>
  </si>
  <si>
    <t>Total de Esquadrias</t>
  </si>
  <si>
    <t>COMPOSIÇÃO</t>
  </si>
  <si>
    <t>BDI</t>
  </si>
  <si>
    <t xml:space="preserve">        Prefeitura Municipal de Monte Carlo </t>
  </si>
  <si>
    <t xml:space="preserve">                                  Santa Catarina</t>
  </si>
  <si>
    <t>PLANILHA DE COMPOSIÇÃO DO BDI</t>
  </si>
  <si>
    <t>COMPOSIÇÃO DO B.D.I.</t>
  </si>
  <si>
    <t>RIS = Risco e imprevistos</t>
  </si>
  <si>
    <t>DEF = Despesas Financeiras e Seguros</t>
  </si>
  <si>
    <t>ADM = Administração Central</t>
  </si>
  <si>
    <t>LB = Lucro Bruto</t>
  </si>
  <si>
    <t>IMP = Impostos sobre faturamento*</t>
  </si>
  <si>
    <t xml:space="preserve">      ISS                           </t>
  </si>
  <si>
    <t xml:space="preserve">      PIS</t>
  </si>
  <si>
    <t xml:space="preserve">      COFINS</t>
  </si>
  <si>
    <t xml:space="preserve"> BDI utilizado</t>
  </si>
  <si>
    <t xml:space="preserve">  *Soma dos impostos (ISS, PIS, CONFINS)</t>
  </si>
  <si>
    <t xml:space="preserve">                    Responsável Técnico pela Prefeitura</t>
  </si>
  <si>
    <t xml:space="preserve">     Rod. SC 456 km 15 – Centro – Fone/Fax: (49) 3546 – 0194 - e-mail:  arquitetura@montecarlo.sc.gov.br</t>
  </si>
  <si>
    <t xml:space="preserve">                                          Monte Carlo – SC Cep 89618-000</t>
  </si>
  <si>
    <t>Total com BDI</t>
  </si>
  <si>
    <t>ml</t>
  </si>
  <si>
    <t>Mat.+Mão-de-Obra</t>
  </si>
  <si>
    <t>m</t>
  </si>
  <si>
    <t>ATERRO APILOAMENTO (MANUAL) EM CAMADAS DE 20CM COM MATERIAL DE EMPRÉSTIMO</t>
  </si>
  <si>
    <t>EMBOÇO TRACO 1:4 (CIMENTO E AREIA), ESPESSURA 2,0CM - PREPARO MECÂNICO E APLIC. MANUALMENTE - EXECUÇÃO DE TALISCAS</t>
  </si>
  <si>
    <t>REBOCO ARGAMASSA FINA - TRAÇO: 1:2 - ESPESSURA: 0,5CM - PREPARO COM BETONEIRA</t>
  </si>
  <si>
    <t>Total de Instalações Hidráulicas - Água Fria</t>
  </si>
  <si>
    <t>Total de Instalações Sanitárias - Esgoto</t>
  </si>
  <si>
    <t>Total de Louças e Metais</t>
  </si>
  <si>
    <t>Total de Instalações Preventivo Contra Incêndio</t>
  </si>
  <si>
    <t>EXTINTOR DE INCÊNDIO - PQS - 4KG - FORNECIMENTO E INSTALAÇÃO</t>
  </si>
  <si>
    <t>Total de Revestimento Teto</t>
  </si>
  <si>
    <t>Total de Instalações Elétricas</t>
  </si>
  <si>
    <t>LIMPEZA GERAL DA OBRA</t>
  </si>
  <si>
    <t>Total de Serviço Finais</t>
  </si>
  <si>
    <t>Mês 03</t>
  </si>
  <si>
    <t>Mês 04</t>
  </si>
  <si>
    <t>Mês 05</t>
  </si>
  <si>
    <t>Mês 06</t>
  </si>
  <si>
    <t>ILUMINAÇÃO DE EMERGÊNCIA - POTÊNCIA: 2x8Watts - FORNECIMENTO E INSTALAÇÃO</t>
  </si>
  <si>
    <t>Total de Sistema Tratamento de Esgoto</t>
  </si>
  <si>
    <t>ORÇAMENTO TOTAL</t>
  </si>
  <si>
    <t>PLANILHA ORÇAMENTÁRIA</t>
  </si>
  <si>
    <t>PLACA DE OBRA EM AÇO GALVANIZADO - FORNECIMENTO E INSTALAÇÃO - 3,00m x 1,20m</t>
  </si>
  <si>
    <t>ESPESSURA 6MM - INCLUSO INSTALAÇÕES ELÉTRICAS - 3,00m x 2,00m</t>
  </si>
  <si>
    <t>MOVIMENTO MANUAL DE TERRA COMPACTA, PROF. DE 0 M &lt; H &lt;= 1 M - PARA SAPATAS - INCLUSO ESCAVAÇÃO E REATERRO</t>
  </si>
  <si>
    <t>MOVIMENTO MANUAL DE TERRA, PROF. DE 0 M &lt; H &lt;= 1 M - PARA VIGAS DE BALDRAME - INCLUSO ESCAVAÇÃO E REATERRO</t>
  </si>
  <si>
    <t>SINAPI - 87702</t>
  </si>
  <si>
    <t>ALVENARIA EM TIJOLO CERÂMICO FURADO 9X19X19CM ARGAMASSA TRACO 1:4 PREPARO BETONEIRA (CIMENTO E AREIA),E=1CM - INCLUSO PLATIBANDA</t>
  </si>
  <si>
    <t>CHUVEIRO ELÉTRICO COMUM - CORPO PLÁSTICO TIPO DUCHA - FORNECIMENTO E INSTALAÇÃO</t>
  </si>
  <si>
    <t>CABO TELEFÔNICO CTP - APL - 50 - 20 PARES - FORNECIMENTO E INSTALAÇÃO - USO EXTERNO</t>
  </si>
  <si>
    <t>FIO TELEFÔNICO CTP - 1,00mm - 2 CONDUTORES - FORNECIMENTO E INSTALAÇÃO  - USO INTERNO</t>
  </si>
  <si>
    <t>CAIXA DE PASSAGEM PARA TELEFONE - 10X10X5cm - SOBREPOR - FORNECIMENTO E INSTALAÇÃO</t>
  </si>
  <si>
    <t>VASO SANITARIO COM ASSENTO PLASTICO E CAIXA DE DESCARGA ACOPLADA, CONJUNTO DE FIXAÇÃO, ANEL DE VEDAÇÃO</t>
  </si>
  <si>
    <t>TUBO DE LIGAÇÃO, COM ACABAMENTO CROMADO E ENGATE PLÁSTICO - PADRÃO MÉDIO - FORNECIMENTO E INSTALAÇÃO</t>
  </si>
  <si>
    <t>SINAPI - 86888</t>
  </si>
  <si>
    <t>PLACA ACRILICO PARA SINALIZAÇÃO DE PORTAS CONFORME PROJETO - NBR 9050</t>
  </si>
  <si>
    <t xml:space="preserve">PLACA ACRILICO PARA SINALIZAÇÃO DE PORTAS CONFORME PROJETO </t>
  </si>
  <si>
    <t>SINAPI - 89957</t>
  </si>
  <si>
    <t>PONTO DE AGUA FRIA PVC 25,00mm - MEDIA 5,00m DE TUBO DE PVC ROSCAVEL AGUA</t>
  </si>
  <si>
    <t>SINAPI - 94495</t>
  </si>
  <si>
    <t>REGISTRO DE GAVETA - 1,00" - FORNECIMENTO E INSTALAÇÃO</t>
  </si>
  <si>
    <t>REGISTRO DE PRESSÃO 3/4" - COM CANOPLA - FORNECIMENTO E INSTALAÇÃO</t>
  </si>
  <si>
    <t>PONTO DE ESGOTO 100mm - PARA VASOS SANITÁRIOS</t>
  </si>
  <si>
    <t>DEINFRA - 42959</t>
  </si>
  <si>
    <t>CONCRETO ESTRUTURAL RODADO NA OBRA - FCK=25 MPA - INCLUSO LANÇAMENTO - PESCOÇO DE PILARES - COMPLETO</t>
  </si>
  <si>
    <t>PILAR DE CONCRETO ARMADO - ESCORAMENTO, FÔRMA, ARMADURA, LANÇAMENTO, CURA, DESFÔRMA - COMPLETO</t>
  </si>
  <si>
    <t>VIGA CONCRETO ARMADO - ESCORAMENTO, FÔRMA, ARMADURA, LANÇAMENTO, CURA, DESFÔRMA  - COMPLETO</t>
  </si>
  <si>
    <t>SINAPI - 87879</t>
  </si>
  <si>
    <t>Total de Revestimento Interno e Externo</t>
  </si>
  <si>
    <t>CHAPISCO APLICADO NO TETO - ARGAMASSA TRAÇO: 1:4 - COM EMULSÃO POLIMÉRICA (ADESIVO)</t>
  </si>
  <si>
    <t>SINAPI - 87882</t>
  </si>
  <si>
    <t xml:space="preserve">RODAPÉ CERÂMICO - 7 cm DE ALTURA - ASSENTADO COM ARGAMASSA COLANTE - INCLUSO REJUNTAMENTO </t>
  </si>
  <si>
    <t xml:space="preserve">IMPERMEABILIZACAO DAS VIGAS DE BALDRAME  COM TINTA ASFÁLTICA - DUAS DEMÃOS </t>
  </si>
  <si>
    <t>SINAPI - 94965</t>
  </si>
  <si>
    <t>PORTA DE VIDRO TEMPERADO 10mm, FORNECIMENTO E INSTALAÇÃO - INCLUINDO VEDAÇAO - PORTA DE ENTRADA</t>
  </si>
  <si>
    <t xml:space="preserve">PONTO DE ILUMINAÇÃO INCLUINDO INTERRUPTOR SIMPLES (DOIS MÓDULOS) - CAIXA ELÉTRICA, ELETRODUTO , FIAÇÃO, RASGO, QUEBRA E CHUMBAMENTO </t>
  </si>
  <si>
    <t xml:space="preserve">PONTO DE ILUMINAÇÃO E TOMADA INCLUINDO INTERRUPTOR SIMPLES E TOMADA 20A - CAIXA ELÉTRICA, ELETRODUTO , FIAÇÃO, RASGO, QUEBRA E CHUMBAMENTO </t>
  </si>
  <si>
    <t xml:space="preserve">PONTO DE TOMADA INCLUINDO TOMADA 20A - CAIXA ELÉTRICA, ELETRODUTO , FIAÇÃO, RASGO, QUEBRA E CHUMBAMENTO </t>
  </si>
  <si>
    <t xml:space="preserve">PONTO DE TOMADA PARA CHUVEIRO - CAIXA ELÉTRICA, ELETRODUTO , FIAÇÃO, RASGO, QUEBRA E CHUMBAMENTO </t>
  </si>
  <si>
    <t xml:space="preserve">PONTO DE TOMADA PARA AR CONDICIONADO - CAIXA ELÉTRICA, ELETRODUTO , FIAÇÃO, RASGO, QUEBRA E CHUMBAMENTO </t>
  </si>
  <si>
    <t xml:space="preserve">PONTO DE TOMADA PARA TV - INCLUINDO CAIXA ELÉTRICA, ELETRODUTO , FIAÇÃO, RASGO, QUEBRA E CHUMBAMENTO </t>
  </si>
  <si>
    <t xml:space="preserve">PONTO DE TOMADA PARA REDE LÓGICA - INCLUINDO  CAIXA ELÉTRICA, ELETRODUTO , FIAÇÃO, RASGO, QUEBRA E CHUMBAMENTO </t>
  </si>
  <si>
    <t xml:space="preserve">TOMADA PARA TELEFONE 4 POLOS - FORNECIMENTO E INSTALAÇÃO </t>
  </si>
  <si>
    <t>RODOVIA SC 452 - BAIRRO PÔR-DO-SOL -  MONTE CARLO - SANTA CATARINA</t>
  </si>
  <si>
    <t>MAÇANETA TIPO ALAVANCA - PADRÃO MÉDIO - CONFORME NBR 9050</t>
  </si>
  <si>
    <t xml:space="preserve">VASO SANITARIO COM ASSENTO PLASTICO E CAIXA DE DESCARGA ACOPLADA COM ALAVANCA (P.N.E), COM FURO FRONTAL - CONJUNTO DE FIXAÇÃO, </t>
  </si>
  <si>
    <t>ANEL DE VEDAÇÃOTUBO DE LIGAÇÃO, COM ACABAMENTO CROMADO E ENGATE PLÁSTICO - PADRÃO MÉDIO - FORNECIMENTO E INSTALAÇÃO - NBR: 9050</t>
  </si>
  <si>
    <t>SABONETEIRA PLÁSTICA TIPO DISPENSER PARA SABONETE LIQUIDO COM RESERVATÓRIO - 800 À 1500ML -  FORNECIMENTO E INSTALAÇÃO</t>
  </si>
  <si>
    <t>SINAPI - 95547</t>
  </si>
  <si>
    <t>DISJUNTOR TERMOMAGNÉTICO TRIPOLAR 100 A, PADRÃO DIN (LINHA PADRÃO)</t>
  </si>
  <si>
    <t>DISJUNTOR TERMOMAGNÉTICO TRIPOLAR 20 A, PADRÃO DIN (LINHA PADRÃO)</t>
  </si>
  <si>
    <t>Sinapi - 95952</t>
  </si>
  <si>
    <t>SINAPI - 98557</t>
  </si>
  <si>
    <t>SINAPI - 93358</t>
  </si>
  <si>
    <t>SINAPI - 94319</t>
  </si>
  <si>
    <t>SINAPI - 89173</t>
  </si>
  <si>
    <t>SINAPI - 87554</t>
  </si>
  <si>
    <t>SINAPI - 88415</t>
  </si>
  <si>
    <t>TUBULAÇÃO EM PVC - DIÂMETRO: 100mm - ESGOTO - FORNECIMENTO E INSTALAÇÃO - INCLUSO ESCAVAÇÃO E REATERRO - INCLUSO CONEXÕES</t>
  </si>
  <si>
    <t>SINAPI - 89800</t>
  </si>
  <si>
    <t>TUBULAÇÃO EM PVC - DIÂMETRO: 50mm - ESGOTO - FORNECIMENTO E INSTALAÇÃO - INCLUSO ESCAVAÇÃO E REATERRO - INCLUSO CONEXÕES</t>
  </si>
  <si>
    <t>SINAPI - 89798</t>
  </si>
  <si>
    <t>SINAPI - 95471</t>
  </si>
  <si>
    <t>SINAPI - 95544</t>
  </si>
  <si>
    <t>SINAPI - 101908</t>
  </si>
  <si>
    <t>SINALIZAÇÃO ABANDONO DE LOCAL FOTOLUMINESCENTE - INDICANDO SAÍDA - FORNECIMENTO E INSTALAÇÃO</t>
  </si>
  <si>
    <t>SINAPI - 97599</t>
  </si>
  <si>
    <t>Sinapi - 93669</t>
  </si>
  <si>
    <t>Sinapi - 101894</t>
  </si>
  <si>
    <t xml:space="preserve">FOSSA SEPTICA - CILINDRICA - COM TAMPA - EM POLIETILENO DE ALTA DENSIDADE (PEAD) - 1100 LITROS - FORNECIMENTO E INSTALAÇÃO </t>
  </si>
  <si>
    <t xml:space="preserve">FILTRO ANAEROBIO EM POLIETILENO DE ALTA DENSIDADE (PEAD) - CAPACIDADE 1100 LITROS - FORNECIMENTO E INSTALAÇÃO </t>
  </si>
  <si>
    <t>QUADRO DE DISTRIBUIÇÃO DE EMBUTIR, PARA ATÉ 12 DISJUNTORES PADRÃO - EM PVC - FORN. E INSTALAÇÃO - COM BARRAMENTO</t>
  </si>
  <si>
    <t>DEINFRA - 43222</t>
  </si>
  <si>
    <t>SINAPI - 87262</t>
  </si>
  <si>
    <t>SINAPI - 88650</t>
  </si>
  <si>
    <t>SINAPI - 101965</t>
  </si>
  <si>
    <t>PEITORIL EM GRANITO - ESPESSURA = 2,00cm - COM PINGADEIRA - ASSENTADO COM ARGAMASSA - TRAÇO 1:6</t>
  </si>
  <si>
    <t>SINAPI - 95305</t>
  </si>
  <si>
    <t>SINAPI - 90406</t>
  </si>
  <si>
    <t>REBOCO ARGAMASSA FINA - TRAÇO: 1:2 - ESPESSURA: 2cm - PREPARO COM BETONEIRA</t>
  </si>
  <si>
    <t>SINAPI - 102179</t>
  </si>
  <si>
    <t>SINAPI - 102181</t>
  </si>
  <si>
    <t>SINAPI - 100694</t>
  </si>
  <si>
    <t>SINAPI - 91320</t>
  </si>
  <si>
    <t>PORTA DE MADEIRA 80X210X3,5CM, INCL. ADUELA 1A, ALIZAR E DOBRADIÇAS - FORNECIMENTO E INSTALAÇÃO</t>
  </si>
  <si>
    <t>SINAPI - 91315</t>
  </si>
  <si>
    <t>SINAPI - 100701</t>
  </si>
  <si>
    <t>CHAPISCO ci-ar 1:3- 5 mm PREPARO E APLICAÇÃO</t>
  </si>
  <si>
    <t>SINAPI - 87548</t>
  </si>
  <si>
    <t>SINAPI - 88489</t>
  </si>
  <si>
    <t xml:space="preserve">Total de Mureta de Alvenaria de Bloco de Concreto </t>
  </si>
  <si>
    <t>REGULARIZACAO E COMPACTACAO MANUAL DE SUBLEITO ATÉ 20 CM DE ESPESSURA</t>
  </si>
  <si>
    <t>EXECUCAO DE PASSEIO EM PISO INTERTRAVADO, COM BLOCO RETANGULAR DE 20 X 10 CM COR NATURAL, ESPESSURA 6 CM, COM COLCHAO DE PO DE PEDRA ESPESSURA 5 CM E REJUNTE DE PO DE PEDRA</t>
  </si>
  <si>
    <t>SINAPI - 100576</t>
  </si>
  <si>
    <t>CAIXA DE INSPEÇÃO DE ALVENARIA - 60X60X60cm - REVESTIDA COM CHAPISCO E ARGAMASSA</t>
  </si>
  <si>
    <t>DEINFRA - 43030</t>
  </si>
  <si>
    <t>CAIXA DE GORDURA EM PVC - CAPACIDADE DE 18 LITROS - COM CESTO E TAMPA - FORNECIMENTO E INSTALAÇÃO</t>
  </si>
  <si>
    <t>SINAPI - 88485</t>
  </si>
  <si>
    <t>SINAPI - 88484</t>
  </si>
  <si>
    <t>APLICAÇÃO FUNDO PREPARADOR PARA POSTERIOR PINTURA ACRÍLICA - FORRO/LAJE TETO</t>
  </si>
  <si>
    <t>APLICAÇÃO FUNDO PREPARADOR PARA POSTERIOR PINTURA ACRÍLICA - PAREDES INTERNAS</t>
  </si>
  <si>
    <t>APLICAÇÃO FUNDO PREPARADOR PARA POSTERIOR PINTURA ACRÍLICA - PAREDES EXTERNAS - INCLUSO PLATIBANDA</t>
  </si>
  <si>
    <t>PINTURA ACRILICA SEMIBRILHO (2 DEMÃOS) SOBRE REBOCO - 2 DEMÃOS - FORRO/LAJE TETO</t>
  </si>
  <si>
    <t>SINAPI- 88488</t>
  </si>
  <si>
    <t xml:space="preserve">TEXTURA ACRILICA, APLICAÇÃO MANUAL EM PAREDE, UMA DEMÃO (EXTERNO, PIGMENTADA) </t>
  </si>
  <si>
    <t>APLICAÇÃO MANUAL DE PINTURA COM TINTA LÁTEX ACRÍLICA EM PAREDES, DUAS DEMÃOS PAREDES INTERNAS</t>
  </si>
  <si>
    <t>SINAPI - 100860</t>
  </si>
  <si>
    <t>SINAPI - 89985</t>
  </si>
  <si>
    <t xml:space="preserve">APLICAÇÃO MANUAL DE PINTURA COM TINTA LÁTEX ACRÍLICA EM PAREDES, DUAS DEMÃOS PAREDES </t>
  </si>
  <si>
    <t xml:space="preserve">APLICAÇÃO FUNDO PREPARADOR PARA POSTERIOR PINTURA ACRÍLICA - PAREDES EXTERNAS </t>
  </si>
  <si>
    <t>DEINFRA - 42846</t>
  </si>
  <si>
    <t>DEINFRA - 40165</t>
  </si>
  <si>
    <t>SINAPI - 100874</t>
  </si>
  <si>
    <t>PUXADORES HORIZONTAIS EM AÇO INOX POLIDO PARA PORTA BANHEIRO P.N.E- NBR 9050 - 80,00cm</t>
  </si>
  <si>
    <t>SINAPI - 98695</t>
  </si>
  <si>
    <t>SINAPI - 96130</t>
  </si>
  <si>
    <t>PLATIBANDA INTERNO - 42,50m²</t>
  </si>
  <si>
    <t xml:space="preserve">JANELA DE VIDRO TEMPERADO 6mm, FORNECIMENTO E INSTALAÇÃO - INCLUINDO VEDAÇAO - JANELAS </t>
  </si>
  <si>
    <t>SINAPI - 91319</t>
  </si>
  <si>
    <t>GRADE DE FERRO REFORCADA PARA TODAS AS JANELAS - INCLUSO PINTURA - FORNECIMENTO E INSTALAÇÃO</t>
  </si>
  <si>
    <t>SINAPI - 94273</t>
  </si>
  <si>
    <t>3. ÁREA EXTERNA</t>
  </si>
  <si>
    <t>Total de Pavimentação Externa - Revestimento Cerâmico Antiderrapante</t>
  </si>
  <si>
    <t xml:space="preserve">Total de Muro de Alvenaria de Bloco de Concreto </t>
  </si>
  <si>
    <t>3.4. Pórtico Entrada</t>
  </si>
  <si>
    <t>Total de Pórtico Entrada</t>
  </si>
  <si>
    <t>3.7. Pavimentação em Paver - ESPESSURA: 8,00cm</t>
  </si>
  <si>
    <t>Total De Pavimentação em Paver - PASSEIO - ESPESSURA: 8,00cm</t>
  </si>
  <si>
    <t>3.6. Pavimentação em Paver - PASSEIO -  ESPESSURA: 6,00cm</t>
  </si>
  <si>
    <t>Total De Pavimentação em Paver - PASSEIO - ESPESSURA: 6,00cm</t>
  </si>
  <si>
    <t>SINAPI - 87255</t>
  </si>
  <si>
    <t>SINAPI - 87249</t>
  </si>
  <si>
    <t>REVESTIMENTO CERÂMICO PARA PISO ANTIDERRAPANTE - PEI IGUAL OU MAIOR A 4 - 45X45CM - ASSENTADO COM ARGAMASSA COLANTE - INCLUSO REJUNTAMENTO</t>
  </si>
  <si>
    <t>LUMINÁRIA TUBULAR  LED 36W - COMPRIMENTO: 1,20M - COMPLETA - FORNECIMENTO E INSTALAÇÃO</t>
  </si>
  <si>
    <t>DISJUNTOR TERMOMAGNÉTICO TRIPOLAR 32 A, PADRÃO DIN (LINHA PADRÃO)</t>
  </si>
  <si>
    <t>Sinapi - 93671</t>
  </si>
  <si>
    <t>SINAPI - 98308</t>
  </si>
  <si>
    <t>SINAPI -98400</t>
  </si>
  <si>
    <t>SINAPI - 98401</t>
  </si>
  <si>
    <t>SINAPI - 100556</t>
  </si>
  <si>
    <t>1.</t>
  </si>
  <si>
    <t>EDIFICAÇÃO</t>
  </si>
  <si>
    <t>1.1. Serviços Preliminares</t>
  </si>
  <si>
    <t>TOTAL DE EDIFICAÇÃO</t>
  </si>
  <si>
    <t xml:space="preserve">CONCRETO ESTRUTURAL RODADO NA OBRA - FCK=25 MPA - INCLUSO LANÇAMENTO - SAPATA - COMPLETO - 0,80X0,80X0,80m </t>
  </si>
  <si>
    <t>CONCRETO FCK: 25MPa - PARA PREENCHIMENTO DOS BLOCOS DE CONCRETO</t>
  </si>
  <si>
    <t xml:space="preserve">CONCRETO ESTRUTURAL RODADO NA OBRA - FCK=25 MPA - INCLUSO LANÇAMENTO - SAPATA - COMPLETO - 0,70X0,70X0,70m </t>
  </si>
  <si>
    <t>ABRIGO PARA GÁS DE COZINHA EM ALVENARIA DE TIJOLO MACIÇO - 2 Unidades P13 Kg</t>
  </si>
  <si>
    <t>SINAPI - 4712</t>
  </si>
  <si>
    <t>SOLEIRA DE MÁRMORE - 15,00cm - ESPESSURA: 2,00cm - FORNECIMENTO E INSTALAÇÃO - PORTA ENTRADA RECEPÇÃO E PORTA FUNDOS COZINHA</t>
  </si>
  <si>
    <t>INTERNO - 280,00m²    EXTERNO - 100m² - PLATIBANDA - 46,68m²</t>
  </si>
  <si>
    <t>TORRE CAIXA D'ÁGUA 50,00m²</t>
  </si>
  <si>
    <t>PORTA DE MADEIRA 70X210X3,5CM, INCL. ADUELA 1A, ALIZAR E DOBRADIÇAS - FORNECIMENTO E INSTALAÇÃO - BWC ALOJAMENTO</t>
  </si>
  <si>
    <t>APLICAÇÃO MANUAL DE MASSA CORRIDA - EM PAREDES INTERNAS - INCLUSO LIXAMENTO</t>
  </si>
  <si>
    <t>1.2. Alvenaria - Paredes</t>
  </si>
  <si>
    <t>1.3. Pavimentação Interna</t>
  </si>
  <si>
    <t>1.4. Revestimento Interno e Externo</t>
  </si>
  <si>
    <t>1.5. Revestimento Teto</t>
  </si>
  <si>
    <t>1.6. Esquadrias</t>
  </si>
  <si>
    <t>1.7.Pintura</t>
  </si>
  <si>
    <t>1.8. Instalações Hidráulicas - Água Fria</t>
  </si>
  <si>
    <t>1.9. Instalações Sanitárias - Esgoto</t>
  </si>
  <si>
    <t>1.10. Louças e Metais</t>
  </si>
  <si>
    <t>1.11. Instalações Preventivo Contra Incêndio</t>
  </si>
  <si>
    <t>1.12. Instalações Elétricas - Incluindo Rede Lógica, Telefonia e TV</t>
  </si>
  <si>
    <t xml:space="preserve">1.13.Sistema de Tratamento de Esgoto </t>
  </si>
  <si>
    <t>1.14. Serviços Finais</t>
  </si>
  <si>
    <t>RALO SIFONADO EM PVC - DIÂMETRO: 100mm - ALTURA REGULÁVEL - COM GRELHA REDONDA - INCLUSO TUBULAÇÃO - BANHEIROS</t>
  </si>
  <si>
    <t>SINAPI - 88628</t>
  </si>
  <si>
    <t>BANCADA EM GRANITO CINZA POLIDO - ESPESSURA: 2,5cm - INCLUSO ACESSÓRIOS/ESTRUTURA  DE FIXAÇÃO - FORNECIMENTO E INSTALAÇÃO</t>
  </si>
  <si>
    <t>CUBA DE EMBUTIR DE LOUÇA BRANCO  - PADRÃO MÉDIO - FORNECIMENTO E INSTALAÇÃO -  INCLUSO VÁLVULA E SIFÃO TIPO GARRAFA EM METAL CROMADO</t>
  </si>
  <si>
    <t>SINAPI - 86938</t>
  </si>
  <si>
    <t>PORTA PAPEL TOALHA  - FORNECIMENTO E INSTALAÇÃO</t>
  </si>
  <si>
    <t>ESPELHO CRISTAL - ESPESSURA 4mm - 60X60cm - COM MOLDURA EM MADEIRA - BANHEIRO ALOJAMENTO E BWC PNE</t>
  </si>
  <si>
    <t>SINAPI - 11186</t>
  </si>
  <si>
    <t>SINAPI - 86943</t>
  </si>
  <si>
    <t>SINAPI - 100868</t>
  </si>
  <si>
    <t xml:space="preserve"> BARRAS DE APOIO METÁLICAS EM INOX POLIDO PARA P.N.E - NBR 9050 - FIXADOS COM PARAFUSO - 80,00cm - DIÂMETRO: 3,00cm</t>
  </si>
  <si>
    <t xml:space="preserve"> BARRAS DE APOIO METÁLICAS EM FORMATO "U" EM INOX POLIDO PARA LAVATÓRIO SUSPENSO BWC P.N.E - NBR 9050 - FIXADOS COM PARAFUSO - 60,00cm - DIÂMETRO: 3,00cm</t>
  </si>
  <si>
    <t>Conj.</t>
  </si>
  <si>
    <t>DISJUNTOR TERMOMAGNÉTICO TRIPOLAR 50 A, PADRÃO DIN (LINHA PADRÃO)</t>
  </si>
  <si>
    <t>Sinapi - 93673</t>
  </si>
  <si>
    <t xml:space="preserve">PONTO DE ILUMINAÇÃO INCLUINDO INTERRUPTOR SIMPLES - CAIXA ELÉTRICA, ELETRODUTO , FIAÇÃO, RASGO, QUEBRA E CHUMBAMENTO </t>
  </si>
  <si>
    <t>SINAPI - 103323</t>
  </si>
  <si>
    <t>REPAROS EM ARGAMASSA (CIMENTO E AREIA) - PREPARO COM BETONEIRA</t>
  </si>
  <si>
    <t>REVESTIMENTO CERÂMICO PARA PISO TIPO PORCELANATO - 60X60CM - ASSENTADO COM ARGAMASSA COLANTE TIPO AC III - INCLUSO REJUNTAMENTO</t>
  </si>
  <si>
    <t>REVESTIMENTO CERÂMICO PARA PAREDE TIPO PORCELANATO - 60X60CM - APLICADO COM ARGAMASSA COLANTE TIPO AC III - INCLUINDO REJUNTAMENTO</t>
  </si>
  <si>
    <t>REVESTIMENTO PEDRA SÃO TOMÉ - APLICADO COM ARGAMASSA COLANTE</t>
  </si>
  <si>
    <t>PORTA DE MADEIRA MACIÇA PESADA - 80X210X3,5CM, INCL. ADUELA 1A, ALIZAR E DOBRADIÇAS - FORNECIMENTO E INSTALAÇÃO - FUNDOS COZINHA - INCLUSO FECHADURA DE EMBUTIR COM CILINDRO</t>
  </si>
  <si>
    <t>PONTO DE ESGOTO 50mm - PARA LAVATÓRIOS E PIA COZINHA</t>
  </si>
  <si>
    <t>DEINFRA - 42961</t>
  </si>
  <si>
    <t>SINAPI - 88495</t>
  </si>
  <si>
    <t>LAVATÓRIO DE LOUÇA BRANCO SUSPENSO - SEM COLUNA - PADRÃO MÉDIO - FORNECIMENTO E INSTALAÇÃO - INCLUSO TORNEIRA TIPO ALAVANCA</t>
  </si>
  <si>
    <t>TORNEIRA CROMADA TEMPORIZADA PRESSMATIC PARA LAVATÓRIO - BANHEIRO ALOJAMENTO - FORNECIMENTO E INSTALAÇÃO</t>
  </si>
  <si>
    <t>PAPALEIRA DE PAREDE EM METAL CROMADO COM TAMPA - FORNECIMENTO E INSTALAÇÃO</t>
  </si>
  <si>
    <r>
      <t>CONCRETO ESTRUTURAL RODADO NA OBRA, FCK=25 MPA - INCLUSO LANÇAMENTO (VIGA DE BALDRAME</t>
    </r>
    <r>
      <rPr>
        <i/>
        <sz val="10"/>
        <rFont val="Calibri"/>
        <family val="2"/>
        <scheme val="minor"/>
      </rPr>
      <t xml:space="preserve">) </t>
    </r>
    <r>
      <rPr>
        <sz val="10"/>
        <rFont val="Calibri"/>
        <family val="2"/>
        <scheme val="minor"/>
      </rPr>
      <t>ALTURA=30CM - COMPLETO</t>
    </r>
  </si>
  <si>
    <t>3.2. Mureta de Alvenaria de Bloco de Concreto - Altura: 1,00m</t>
  </si>
  <si>
    <t>EXECUCAO DE PASSEIO EM PISO INTERTRAVADO, COM BLOCO RETANGULAR DE 20 X 10 CM COR NATURAL, ESPESSURA 8 CM, COM COLCHAO DE PO DE PEDRA ESPESSURA 5 CM E REJUNTE DE PO DE PEDRA</t>
  </si>
  <si>
    <t>SINAPI - 92400</t>
  </si>
  <si>
    <t>EXECUCAO DE PASSEIO EM PISO INTERTRAVADO, COM BLOCO RETANGULAR DE 20 X 10 CM - DIRECIONAL, ESPESSURA 6 CM, COM COLCHAO DE PO DE PEDRA ESPESSURA 5 CM E REJUNTE DE PO DE PEDRA</t>
  </si>
  <si>
    <t xml:space="preserve">CONCRETO ESTRUTURAL RODADO NA OBRA - FCK=25 MPA - INCLUSO LANÇAMENTO - SAPATA - COMPLETO - 0,50X0,50X0,50m </t>
  </si>
  <si>
    <t xml:space="preserve"> MEIO-FIO PRÉ-MOLDADO - DIMENSÕES 100x15x13x30cm - INCLUSO REJUNTAMENTO COM ARGAMASSA</t>
  </si>
  <si>
    <t>CHAPISCO - TRAÇO: 1:3- 5 mm PREPARO E APLICAÇÃO - PAREDES INTERNAS E EXTERNAS</t>
  </si>
  <si>
    <t>APLICAÇÃO MANUAL DE PINTURA COM TINTA LÁTEX ACRÍLICA EM PAREDES, DUAS DEMÃOS PAREDES INTERNAS - PLATIBANDA E TORRE CAIXA D'ÁGUA - PARTE INTERNA</t>
  </si>
  <si>
    <t>PORTA DE MADEIRA 90X210X3,5CM, INCL. ADUELA 1A, ALIZAR E DOBRADIÇAS - BANHEIRO PNE</t>
  </si>
  <si>
    <t xml:space="preserve">ALVENARIA DE VEDAÇÃO COM BLOCO DE CONCRETO ESTRUTURAL - 14X19X39cm (ESPESSURA: 14,00cm) - ASSENTADO COM ARGAMASSA </t>
  </si>
  <si>
    <t>3.3. Pavimentação Externa - Revestimento Cerâmico Antiderrapante - AOS ARREDORES DA EDIFICAÇÃO</t>
  </si>
  <si>
    <t>LAJE MACIÇA EM CONCRETO ARMADO - ESPESSURA: 8,00cm - INCLUSO FÔRMA; ESCORAMENTO; FERRAGEM, DESFÔRMA - LAJE EXTERNA (DETALHE FACHADA FRONTAL E LATERAL)</t>
  </si>
  <si>
    <t>SINAPI - 95956</t>
  </si>
  <si>
    <t>IMPERMEABILIZACAO DE SUPERFÍCIE COM MANTA ASFÁLTICA - UMA CAMADA - INCUSIVE APLICAÇÃO DO PRIMER ASFÁLTICO E=3,00mm - LAJE MACIÇA EM CONCRETO ARMADO</t>
  </si>
  <si>
    <t>SINAPI - 98546</t>
  </si>
  <si>
    <t>PORTÃO DE ABRIR COM GRADIL FIXO - COM REQUADRO - ALUMÍNIO REFORÇADO</t>
  </si>
  <si>
    <t>Pto</t>
  </si>
  <si>
    <t xml:space="preserve">PONTO DE ILUMINAÇÃO </t>
  </si>
  <si>
    <t>SINAPI I- 11519</t>
  </si>
  <si>
    <t>SINAPI I - 11795</t>
  </si>
  <si>
    <t>DEINFRA - 43714</t>
  </si>
  <si>
    <t>DEINFRA - 43807</t>
  </si>
  <si>
    <t>SINAPI I - 10851</t>
  </si>
  <si>
    <t>SINAPI I - 37556</t>
  </si>
  <si>
    <t>SINAPI - 104473</t>
  </si>
  <si>
    <t>SINAPI - 104475</t>
  </si>
  <si>
    <t>SINAPI - 104481</t>
  </si>
  <si>
    <t>SINAPI - 104476</t>
  </si>
  <si>
    <t>Sinapi - 101875</t>
  </si>
  <si>
    <t>SINAPI - 98052</t>
  </si>
  <si>
    <t>SINAPI - 98058</t>
  </si>
  <si>
    <t>SINAPI - 98063</t>
  </si>
  <si>
    <t>SUMIDOURO CIRCULAR - ÁREA DE INFILTRAÇÃO MÍNIMA: 21,3 M²</t>
  </si>
  <si>
    <t>SINAPI I - 35277</t>
  </si>
  <si>
    <t>SINAPI - 95952</t>
  </si>
  <si>
    <t>SINAPI - 89472</t>
  </si>
  <si>
    <t>SINAPI I - 4721</t>
  </si>
  <si>
    <t>SINAPI - 103328</t>
  </si>
  <si>
    <t>SINAPI I - 4948</t>
  </si>
  <si>
    <t>SINAPI - 92396</t>
  </si>
  <si>
    <t>PROJETO DESTACAMENTO POLICIA MILITAR - ETAPA II</t>
  </si>
  <si>
    <t>TOTAL ÁREA EXTERNA</t>
  </si>
  <si>
    <t xml:space="preserve">                         JANIERI ROMANATTO                                                                                                                              </t>
  </si>
  <si>
    <t xml:space="preserve">Arquiteta e Urbanista CAU-SC A105267-5                                                                                                 </t>
  </si>
  <si>
    <t>BARRACO DE OBRA PARA ALOJAMENTO/ESCRITÓRIO, PISO EM PINHO 3A - PAREDES EM COMPENSADO 10MM - COBERTURA EM FIBROCIMENTO (3,00 x 2,00m)</t>
  </si>
  <si>
    <t>SINAPI - 96131</t>
  </si>
  <si>
    <t xml:space="preserve">RUFO EM CHAPA DE AÇO GALVANIZADO NÚMERO 24, CORTE DE 25 CM, INCLUSO TRANSPORTE VERTICAL. </t>
  </si>
  <si>
    <t>SINAPI - 91316</t>
  </si>
  <si>
    <t>SINAPI I -4813</t>
  </si>
  <si>
    <t>2. Alvenaria - Paredes</t>
  </si>
  <si>
    <t>3. Pavimentação</t>
  </si>
  <si>
    <t>4. Revestimento Interno e Externo</t>
  </si>
  <si>
    <t>5. Revestimento Teto</t>
  </si>
  <si>
    <t>6. Esquadrias</t>
  </si>
  <si>
    <t>7. Pintura</t>
  </si>
  <si>
    <t>8. Instalações Hidráulica - Água Fria</t>
  </si>
  <si>
    <t>9. Instalações Sanitárias - Esgoto</t>
  </si>
  <si>
    <t>10. Louças e Metais</t>
  </si>
  <si>
    <t>11. Instalações Prevent. Incêndio</t>
  </si>
  <si>
    <t xml:space="preserve">12. Instalações Elétricas </t>
  </si>
  <si>
    <t>13. Sistema Tratamento de Esgoto</t>
  </si>
  <si>
    <t>3.1. Muro de Alvenaria de Bloco de Concreto - LATERAL, FUNDOS E FRENTE TERRENO</t>
  </si>
  <si>
    <t xml:space="preserve">CRONOGRAMA FÍSICO-FINANCEIRO </t>
  </si>
  <si>
    <t>14. Muro lateral, fundos e frente</t>
  </si>
  <si>
    <t>15. Mureta h=1m</t>
  </si>
  <si>
    <t xml:space="preserve">16. Pavimentação Externo </t>
  </si>
  <si>
    <t>17. Pórtico Entrada</t>
  </si>
  <si>
    <t>19. Pavimentação em Paver</t>
  </si>
  <si>
    <t>18. Pavimentação em Paver Passeio</t>
  </si>
  <si>
    <t>JANIERI ROMANATTO</t>
  </si>
  <si>
    <t>Arquiteta e Ubanista – CAU/SC A105267-5</t>
  </si>
  <si>
    <t xml:space="preserve">                    Monte Carlo, julho de 2023</t>
  </si>
  <si>
    <t>Arquiteta e Urbanista – CREA/SC A105267-5</t>
  </si>
  <si>
    <t>10 DE JULHO DE 2023</t>
  </si>
  <si>
    <t>20. Serviços Finais</t>
  </si>
  <si>
    <t>PORTA EM ALUMÍNIO DE ABRIR TIPO VENEZIANA COM GUARNIÇÃO, FIXAÇÃO COM PARAFUSOS - FORNECIMENTO E INSTALAÇÃO PARA RESERVATÓRIO</t>
  </si>
  <si>
    <t>Ref. de Preço</t>
  </si>
  <si>
    <t>Comp. 100866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</si>
</sst>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7" formatCode="0.0%"/>
    <numFmt numFmtId="168" formatCode="_(* #,##0.0000_);_(* \(#,##0.0000\);_(* &quot;-&quot;??_);_(@_)"/>
    <numFmt numFmtId="169" formatCode="_(* #,##0.0000_);_(* \(#,##0.0000\);_(* &quot;-&quot;????_);_(@_)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2E2E2E"/>
      <name val="Trebuchet MS"/>
      <family val="2"/>
    </font>
    <font>
      <sz val="10"/>
      <color theme="1"/>
      <name val="Calibri"/>
      <family val="2"/>
      <scheme val="minor"/>
    </font>
    <font>
      <b/>
      <sz val="10"/>
      <color rgb="FF2E2E2E"/>
      <name val="Trebuchet MS"/>
      <family val="2"/>
    </font>
    <font>
      <b/>
      <sz val="10"/>
      <color theme="1"/>
      <name val="Calibri"/>
      <family val="2"/>
      <scheme val="minor"/>
    </font>
    <font>
      <b/>
      <sz val="9"/>
      <color rgb="FF2E2E2E"/>
      <name val="Trebuchet MS"/>
      <family val="2"/>
    </font>
    <font>
      <b/>
      <sz val="12"/>
      <color rgb="FF2E2E2E"/>
      <name val="Trebuchet MS"/>
      <family val="2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2E2E2E"/>
      <name val="Trebuchet MS"/>
      <family val="2"/>
    </font>
    <font>
      <b/>
      <u/>
      <sz val="10"/>
      <color theme="1"/>
      <name val="Calibri"/>
      <family val="2"/>
      <scheme val="minor"/>
    </font>
    <font>
      <b/>
      <sz val="10"/>
      <color rgb="FFFF0000"/>
      <name val="Trebuchet MS"/>
      <family val="2"/>
    </font>
    <font>
      <sz val="10"/>
      <color rgb="FFFF0000"/>
      <name val="Trebuchet MS"/>
      <family val="2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15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10"/>
      <name val="Calibri"/>
      <family val="2"/>
    </font>
    <font>
      <b/>
      <i/>
      <u/>
      <sz val="10"/>
      <color theme="1"/>
      <name val="Calibri"/>
      <family val="2"/>
      <scheme val="minor"/>
    </font>
    <font>
      <i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ck">
        <color rgb="FFC1B56B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0">
    <xf numFmtId="0" fontId="0" fillId="0" borderId="0" xfId="0"/>
    <xf numFmtId="0" fontId="2" fillId="0" borderId="1" xfId="0" applyFont="1" applyBorder="1" applyAlignment="1">
      <alignment horizontal="left" indent="1"/>
    </xf>
    <xf numFmtId="0" fontId="3" fillId="0" borderId="0" xfId="0" applyFont="1"/>
    <xf numFmtId="0" fontId="4" fillId="0" borderId="1" xfId="0" applyFont="1" applyBorder="1" applyAlignment="1">
      <alignment horizontal="left" inden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2" fillId="0" borderId="0" xfId="1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6" fillId="0" borderId="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164" fontId="16" fillId="0" borderId="4" xfId="1" applyFont="1" applyBorder="1"/>
    <xf numFmtId="164" fontId="16" fillId="0" borderId="5" xfId="1" applyFont="1" applyBorder="1"/>
    <xf numFmtId="0" fontId="3" fillId="2" borderId="0" xfId="0" applyFont="1" applyFill="1" applyAlignment="1">
      <alignment horizontal="center"/>
    </xf>
    <xf numFmtId="164" fontId="3" fillId="0" borderId="0" xfId="1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/>
    <xf numFmtId="164" fontId="3" fillId="0" borderId="0" xfId="1" applyFont="1"/>
    <xf numFmtId="165" fontId="18" fillId="0" borderId="0" xfId="2" applyFont="1"/>
    <xf numFmtId="165" fontId="18" fillId="0" borderId="0" xfId="2" applyFont="1" applyAlignment="1">
      <alignment horizontal="left"/>
    </xf>
    <xf numFmtId="165" fontId="25" fillId="0" borderId="0" xfId="2" applyFont="1"/>
    <xf numFmtId="165" fontId="26" fillId="0" borderId="0" xfId="2" applyFont="1" applyAlignment="1">
      <alignment horizontal="left"/>
    </xf>
    <xf numFmtId="165" fontId="26" fillId="0" borderId="0" xfId="2" applyFont="1"/>
    <xf numFmtId="10" fontId="3" fillId="0" borderId="0" xfId="0" applyNumberFormat="1" applyFont="1" applyAlignment="1">
      <alignment horizontal="center"/>
    </xf>
    <xf numFmtId="165" fontId="25" fillId="0" borderId="0" xfId="2" applyFont="1" applyAlignment="1"/>
    <xf numFmtId="2" fontId="12" fillId="0" borderId="0" xfId="0" applyNumberFormat="1" applyFont="1" applyAlignment="1">
      <alignment horizontal="center"/>
    </xf>
    <xf numFmtId="164" fontId="3" fillId="0" borderId="0" xfId="1" applyFont="1" applyFill="1" applyAlignment="1">
      <alignment horizontal="right"/>
    </xf>
    <xf numFmtId="164" fontId="12" fillId="0" borderId="0" xfId="1" applyFont="1" applyFill="1" applyAlignment="1">
      <alignment horizontal="right"/>
    </xf>
    <xf numFmtId="0" fontId="12" fillId="0" borderId="0" xfId="0" applyFont="1"/>
    <xf numFmtId="164" fontId="11" fillId="0" borderId="0" xfId="1" applyFont="1" applyAlignment="1">
      <alignment horizontal="right"/>
    </xf>
    <xf numFmtId="0" fontId="3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165" fontId="3" fillId="0" borderId="0" xfId="2" applyFont="1" applyAlignment="1">
      <alignment horizontal="left"/>
    </xf>
    <xf numFmtId="0" fontId="29" fillId="0" borderId="0" xfId="0" applyFont="1" applyAlignment="1">
      <alignment horizontal="left"/>
    </xf>
    <xf numFmtId="165" fontId="18" fillId="0" borderId="0" xfId="2" applyFont="1" applyFill="1" applyAlignment="1">
      <alignment horizontal="left"/>
    </xf>
    <xf numFmtId="165" fontId="12" fillId="2" borderId="0" xfId="2" applyFont="1" applyFill="1" applyAlignment="1">
      <alignment horizontal="left"/>
    </xf>
    <xf numFmtId="0" fontId="11" fillId="0" borderId="0" xfId="0" applyFont="1"/>
    <xf numFmtId="2" fontId="11" fillId="0" borderId="0" xfId="0" applyNumberFormat="1" applyFont="1" applyAlignment="1">
      <alignment horizontal="center"/>
    </xf>
    <xf numFmtId="0" fontId="27" fillId="0" borderId="0" xfId="0" applyFont="1"/>
    <xf numFmtId="17" fontId="3" fillId="0" borderId="0" xfId="0" applyNumberFormat="1" applyFont="1" applyAlignment="1">
      <alignment horizontal="left"/>
    </xf>
    <xf numFmtId="165" fontId="17" fillId="0" borderId="3" xfId="2" applyFont="1" applyFill="1" applyBorder="1" applyAlignment="1">
      <alignment horizontal="center"/>
    </xf>
    <xf numFmtId="164" fontId="5" fillId="0" borderId="0" xfId="1" applyFont="1" applyAlignment="1">
      <alignment horizontal="left"/>
    </xf>
    <xf numFmtId="164" fontId="11" fillId="0" borderId="0" xfId="1" applyFont="1" applyFill="1" applyAlignment="1">
      <alignment horizontal="right"/>
    </xf>
    <xf numFmtId="165" fontId="25" fillId="0" borderId="0" xfId="2" applyFont="1" applyFill="1" applyAlignment="1">
      <alignment horizontal="left"/>
    </xf>
    <xf numFmtId="0" fontId="30" fillId="0" borderId="0" xfId="0" applyFont="1" applyAlignment="1">
      <alignment horizontal="left"/>
    </xf>
    <xf numFmtId="165" fontId="3" fillId="0" borderId="0" xfId="2" applyFont="1" applyAlignment="1"/>
    <xf numFmtId="0" fontId="1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65" fontId="17" fillId="0" borderId="7" xfId="2" applyFont="1" applyFill="1" applyBorder="1" applyAlignment="1">
      <alignment horizontal="center"/>
    </xf>
    <xf numFmtId="43" fontId="3" fillId="0" borderId="0" xfId="0" applyNumberFormat="1" applyFont="1"/>
    <xf numFmtId="0" fontId="23" fillId="0" borderId="0" xfId="0" applyFont="1" applyAlignment="1">
      <alignment horizontal="left" indent="1"/>
    </xf>
    <xf numFmtId="0" fontId="24" fillId="0" borderId="0" xfId="0" applyFont="1" applyAlignment="1">
      <alignment horizontal="left" indent="1"/>
    </xf>
    <xf numFmtId="167" fontId="3" fillId="0" borderId="0" xfId="0" applyNumberFormat="1" applyFont="1" applyAlignment="1">
      <alignment horizontal="center"/>
    </xf>
    <xf numFmtId="164" fontId="5" fillId="0" borderId="0" xfId="1" applyFont="1" applyAlignment="1">
      <alignment horizontal="right"/>
    </xf>
    <xf numFmtId="0" fontId="32" fillId="0" borderId="0" xfId="0" applyFont="1" applyAlignment="1">
      <alignment horizontal="left" indent="3"/>
    </xf>
    <xf numFmtId="0" fontId="33" fillId="0" borderId="0" xfId="0" applyFont="1" applyAlignment="1">
      <alignment horizontal="center"/>
    </xf>
    <xf numFmtId="0" fontId="1" fillId="0" borderId="3" xfId="0" applyFont="1" applyBorder="1" applyAlignment="1">
      <alignment wrapText="1"/>
    </xf>
    <xf numFmtId="10" fontId="35" fillId="4" borderId="3" xfId="3" applyNumberFormat="1" applyFont="1" applyFill="1" applyBorder="1" applyAlignment="1" applyProtection="1">
      <alignment horizontal="center" vertical="center"/>
      <protection locked="0"/>
    </xf>
    <xf numFmtId="168" fontId="18" fillId="0" borderId="0" xfId="2" applyNumberFormat="1" applyFont="1"/>
    <xf numFmtId="168" fontId="18" fillId="0" borderId="0" xfId="0" applyNumberFormat="1" applyFont="1"/>
    <xf numFmtId="10" fontId="36" fillId="5" borderId="7" xfId="3" applyNumberFormat="1" applyFont="1" applyFill="1" applyBorder="1" applyAlignment="1" applyProtection="1">
      <alignment horizontal="center" vertical="center"/>
    </xf>
    <xf numFmtId="168" fontId="19" fillId="0" borderId="0" xfId="2" applyNumberFormat="1" applyFont="1"/>
    <xf numFmtId="168" fontId="19" fillId="0" borderId="0" xfId="0" applyNumberFormat="1" applyFont="1"/>
    <xf numFmtId="10" fontId="0" fillId="4" borderId="3" xfId="3" applyNumberFormat="1" applyFont="1" applyFill="1" applyBorder="1" applyAlignment="1" applyProtection="1">
      <alignment horizontal="center" vertical="center"/>
      <protection locked="0"/>
    </xf>
    <xf numFmtId="169" fontId="31" fillId="0" borderId="0" xfId="0" applyNumberFormat="1" applyFont="1"/>
    <xf numFmtId="0" fontId="0" fillId="2" borderId="3" xfId="0" applyFill="1" applyBorder="1" applyAlignment="1">
      <alignment horizontal="justify"/>
    </xf>
    <xf numFmtId="10" fontId="0" fillId="0" borderId="0" xfId="2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justify"/>
    </xf>
    <xf numFmtId="0" fontId="20" fillId="0" borderId="0" xfId="0" applyFont="1"/>
    <xf numFmtId="0" fontId="37" fillId="0" borderId="0" xfId="0" applyFont="1"/>
    <xf numFmtId="0" fontId="37" fillId="0" borderId="0" xfId="0" applyFont="1" applyAlignment="1">
      <alignment horizontal="center"/>
    </xf>
    <xf numFmtId="164" fontId="12" fillId="0" borderId="0" xfId="1" applyFont="1"/>
    <xf numFmtId="0" fontId="31" fillId="0" borderId="0" xfId="0" applyFont="1"/>
    <xf numFmtId="165" fontId="12" fillId="0" borderId="0" xfId="2" applyFont="1" applyAlignment="1">
      <alignment horizontal="left"/>
    </xf>
    <xf numFmtId="0" fontId="30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30" fillId="0" borderId="0" xfId="0" applyFont="1"/>
    <xf numFmtId="43" fontId="30" fillId="0" borderId="0" xfId="0" applyNumberFormat="1" applyFont="1" applyAlignment="1">
      <alignment horizontal="left"/>
    </xf>
    <xf numFmtId="165" fontId="3" fillId="0" borderId="0" xfId="2" applyFont="1" applyFill="1" applyAlignment="1">
      <alignment horizontal="left"/>
    </xf>
    <xf numFmtId="164" fontId="3" fillId="0" borderId="0" xfId="1" applyFont="1" applyAlignment="1">
      <alignment horizontal="left"/>
    </xf>
    <xf numFmtId="164" fontId="3" fillId="0" borderId="0" xfId="1" applyFont="1" applyBorder="1" applyAlignment="1">
      <alignment horizontal="center"/>
    </xf>
    <xf numFmtId="164" fontId="12" fillId="0" borderId="0" xfId="1" applyFont="1" applyAlignment="1">
      <alignment horizontal="center"/>
    </xf>
    <xf numFmtId="164" fontId="5" fillId="0" borderId="0" xfId="1" applyFont="1" applyBorder="1" applyAlignment="1">
      <alignment horizontal="center"/>
    </xf>
    <xf numFmtId="164" fontId="11" fillId="0" borderId="0" xfId="0" applyNumberFormat="1" applyFont="1" applyAlignment="1">
      <alignment horizontal="left"/>
    </xf>
    <xf numFmtId="165" fontId="17" fillId="2" borderId="7" xfId="2" applyFont="1" applyFill="1" applyBorder="1" applyAlignment="1">
      <alignment horizontal="center"/>
    </xf>
    <xf numFmtId="165" fontId="17" fillId="2" borderId="3" xfId="2" applyFont="1" applyFill="1" applyBorder="1" applyAlignment="1">
      <alignment horizontal="center"/>
    </xf>
    <xf numFmtId="164" fontId="17" fillId="2" borderId="7" xfId="0" applyNumberFormat="1" applyFont="1" applyFill="1" applyBorder="1"/>
    <xf numFmtId="164" fontId="17" fillId="2" borderId="3" xfId="0" applyNumberFormat="1" applyFont="1" applyFill="1" applyBorder="1"/>
    <xf numFmtId="43" fontId="13" fillId="0" borderId="0" xfId="0" applyNumberFormat="1" applyFont="1"/>
    <xf numFmtId="0" fontId="13" fillId="6" borderId="0" xfId="0" applyFont="1" applyFill="1" applyAlignment="1">
      <alignment horizontal="center"/>
    </xf>
    <xf numFmtId="164" fontId="11" fillId="6" borderId="0" xfId="1" applyFont="1" applyFill="1"/>
    <xf numFmtId="0" fontId="13" fillId="6" borderId="0" xfId="0" applyFont="1" applyFill="1"/>
    <xf numFmtId="0" fontId="12" fillId="0" borderId="0" xfId="0" applyFont="1" applyAlignment="1">
      <alignment horizontal="left"/>
    </xf>
    <xf numFmtId="165" fontId="18" fillId="0" borderId="0" xfId="2" applyFont="1" applyFill="1"/>
    <xf numFmtId="0" fontId="12" fillId="0" borderId="0" xfId="0" applyFont="1" applyAlignment="1">
      <alignment horizontal="center"/>
    </xf>
    <xf numFmtId="165" fontId="12" fillId="0" borderId="0" xfId="2" applyFont="1" applyFill="1" applyAlignment="1"/>
    <xf numFmtId="2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5" fontId="12" fillId="0" borderId="0" xfId="2" applyFont="1" applyAlignment="1"/>
    <xf numFmtId="165" fontId="16" fillId="2" borderId="4" xfId="2" applyFont="1" applyFill="1" applyBorder="1" applyAlignment="1">
      <alignment horizontal="center"/>
    </xf>
    <xf numFmtId="164" fontId="16" fillId="0" borderId="4" xfId="1" applyFont="1" applyBorder="1" applyAlignment="1">
      <alignment horizontal="center"/>
    </xf>
    <xf numFmtId="43" fontId="0" fillId="0" borderId="0" xfId="0" applyNumberFormat="1" applyAlignment="1">
      <alignment horizontal="center"/>
    </xf>
    <xf numFmtId="0" fontId="22" fillId="0" borderId="0" xfId="0" applyFont="1"/>
    <xf numFmtId="0" fontId="12" fillId="0" borderId="0" xfId="0" applyFont="1" applyAlignment="1">
      <alignment horizontal="right" vertical="center"/>
    </xf>
    <xf numFmtId="165" fontId="3" fillId="0" borderId="0" xfId="2" applyFont="1" applyFill="1" applyAlignment="1">
      <alignment horizontal="left" vertical="center"/>
    </xf>
    <xf numFmtId="165" fontId="12" fillId="0" borderId="0" xfId="2" applyFont="1" applyFill="1" applyAlignment="1">
      <alignment horizontal="left"/>
    </xf>
    <xf numFmtId="164" fontId="12" fillId="0" borderId="0" xfId="1" applyFont="1" applyBorder="1" applyAlignment="1">
      <alignment horizontal="left"/>
    </xf>
    <xf numFmtId="167" fontId="12" fillId="0" borderId="0" xfId="0" applyNumberFormat="1" applyFont="1" applyAlignment="1">
      <alignment horizontal="center"/>
    </xf>
    <xf numFmtId="43" fontId="28" fillId="0" borderId="0" xfId="0" applyNumberFormat="1" applyFont="1" applyAlignment="1">
      <alignment horizontal="center"/>
    </xf>
    <xf numFmtId="0" fontId="38" fillId="0" borderId="0" xfId="0" applyFont="1" applyAlignment="1">
      <alignment vertical="center"/>
    </xf>
    <xf numFmtId="165" fontId="25" fillId="0" borderId="0" xfId="2" applyFont="1" applyAlignment="1">
      <alignment horizontal="left"/>
    </xf>
    <xf numFmtId="165" fontId="25" fillId="0" borderId="0" xfId="2" applyFont="1" applyFill="1"/>
    <xf numFmtId="43" fontId="12" fillId="0" borderId="0" xfId="0" applyNumberFormat="1" applyFont="1" applyAlignment="1">
      <alignment horizontal="left"/>
    </xf>
    <xf numFmtId="164" fontId="12" fillId="0" borderId="0" xfId="1" applyFont="1" applyFill="1"/>
    <xf numFmtId="164" fontId="12" fillId="0" borderId="0" xfId="1" applyFont="1" applyFill="1" applyAlignment="1">
      <alignment horizontal="left"/>
    </xf>
    <xf numFmtId="0" fontId="11" fillId="0" borderId="0" xfId="0" applyFont="1" applyAlignment="1">
      <alignment horizontal="center"/>
    </xf>
    <xf numFmtId="164" fontId="12" fillId="0" borderId="0" xfId="1" applyFont="1" applyFill="1" applyAlignment="1">
      <alignment horizontal="center"/>
    </xf>
    <xf numFmtId="2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/>
    <xf numFmtId="164" fontId="3" fillId="2" borderId="0" xfId="1" applyFont="1" applyFill="1" applyAlignment="1">
      <alignment horizontal="right"/>
    </xf>
    <xf numFmtId="164" fontId="12" fillId="2" borderId="0" xfId="1" applyFont="1" applyFill="1" applyAlignment="1">
      <alignment horizontal="right"/>
    </xf>
    <xf numFmtId="167" fontId="3" fillId="2" borderId="0" xfId="0" applyNumberFormat="1" applyFont="1" applyFill="1" applyAlignment="1">
      <alignment horizontal="center"/>
    </xf>
    <xf numFmtId="0" fontId="39" fillId="2" borderId="0" xfId="0" applyFont="1" applyFill="1"/>
    <xf numFmtId="165" fontId="19" fillId="0" borderId="0" xfId="2" applyFont="1" applyFill="1"/>
    <xf numFmtId="0" fontId="10" fillId="2" borderId="0" xfId="0" applyFont="1" applyFill="1"/>
    <xf numFmtId="0" fontId="12" fillId="2" borderId="0" xfId="0" applyFont="1" applyFill="1" applyAlignment="1">
      <alignment horizontal="left"/>
    </xf>
    <xf numFmtId="164" fontId="11" fillId="2" borderId="0" xfId="0" applyNumberFormat="1" applyFont="1" applyFill="1" applyAlignment="1">
      <alignment horizontal="left"/>
    </xf>
    <xf numFmtId="164" fontId="11" fillId="2" borderId="0" xfId="1" applyFont="1" applyFill="1" applyAlignment="1">
      <alignment horizontal="right"/>
    </xf>
    <xf numFmtId="164" fontId="5" fillId="2" borderId="0" xfId="1" applyFont="1" applyFill="1" applyBorder="1" applyAlignment="1">
      <alignment horizontal="center"/>
    </xf>
    <xf numFmtId="164" fontId="5" fillId="2" borderId="0" xfId="1" applyFont="1" applyFill="1" applyAlignment="1">
      <alignment horizontal="right"/>
    </xf>
    <xf numFmtId="0" fontId="12" fillId="0" borderId="0" xfId="0" quotePrefix="1" applyFont="1" applyAlignment="1">
      <alignment vertical="center"/>
    </xf>
    <xf numFmtId="43" fontId="30" fillId="0" borderId="0" xfId="0" applyNumberFormat="1" applyFont="1"/>
    <xf numFmtId="164" fontId="12" fillId="0" borderId="0" xfId="1" applyFont="1" applyFill="1" applyAlignment="1">
      <alignment horizontal="center" vertical="center"/>
    </xf>
    <xf numFmtId="10" fontId="12" fillId="0" borderId="0" xfId="3" applyNumberFormat="1" applyFont="1" applyAlignment="1">
      <alignment horizontal="center"/>
    </xf>
    <xf numFmtId="0" fontId="11" fillId="0" borderId="0" xfId="0" applyFont="1" applyAlignment="1">
      <alignment horizontal="left"/>
    </xf>
    <xf numFmtId="165" fontId="3" fillId="0" borderId="0" xfId="2" applyFont="1" applyFill="1"/>
    <xf numFmtId="0" fontId="12" fillId="0" borderId="0" xfId="0" applyFont="1" applyAlignment="1">
      <alignment horizontal="left"/>
    </xf>
    <xf numFmtId="0" fontId="12" fillId="0" borderId="0" xfId="0" applyFont="1"/>
    <xf numFmtId="0" fontId="11" fillId="0" borderId="0" xfId="0" applyFont="1" applyAlignment="1">
      <alignment horizontal="center"/>
    </xf>
    <xf numFmtId="164" fontId="12" fillId="0" borderId="0" xfId="1" applyFont="1" applyFill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0" fillId="0" borderId="0" xfId="1" applyFont="1" applyAlignment="1">
      <alignment horizontal="right"/>
    </xf>
    <xf numFmtId="0" fontId="12" fillId="0" borderId="0" xfId="0" applyFont="1"/>
    <xf numFmtId="0" fontId="0" fillId="0" borderId="0" xfId="0"/>
    <xf numFmtId="0" fontId="13" fillId="0" borderId="0" xfId="0" applyFont="1" applyFill="1" applyAlignment="1">
      <alignment horizontal="center"/>
    </xf>
    <xf numFmtId="0" fontId="13" fillId="0" borderId="0" xfId="0" applyFont="1" applyFill="1"/>
    <xf numFmtId="164" fontId="5" fillId="0" borderId="0" xfId="1" applyFont="1" applyFill="1" applyBorder="1" applyAlignment="1">
      <alignment horizontal="center"/>
    </xf>
    <xf numFmtId="164" fontId="5" fillId="0" borderId="0" xfId="1" applyFont="1" applyFill="1" applyAlignment="1">
      <alignment horizontal="right"/>
    </xf>
    <xf numFmtId="0" fontId="27" fillId="2" borderId="0" xfId="0" applyFont="1" applyFill="1"/>
    <xf numFmtId="0" fontId="11" fillId="6" borderId="0" xfId="0" applyFont="1" applyFill="1" applyAlignment="1">
      <alignment horizont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15" fillId="0" borderId="0" xfId="0" applyFont="1"/>
    <xf numFmtId="0" fontId="11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43" fontId="12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164" fontId="12" fillId="0" borderId="0" xfId="1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2" fontId="12" fillId="0" borderId="0" xfId="0" applyNumberFormat="1" applyFont="1" applyAlignment="1">
      <alignment horizontal="center" vertical="center"/>
    </xf>
    <xf numFmtId="165" fontId="3" fillId="0" borderId="0" xfId="2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164" fontId="3" fillId="0" borderId="0" xfId="1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8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9" fillId="2" borderId="0" xfId="0" applyFont="1" applyFill="1"/>
    <xf numFmtId="0" fontId="13" fillId="0" borderId="0" xfId="0" applyFont="1"/>
    <xf numFmtId="0" fontId="30" fillId="0" borderId="0" xfId="0" applyFont="1" applyAlignment="1">
      <alignment horizontal="right" vertical="center"/>
    </xf>
    <xf numFmtId="164" fontId="12" fillId="0" borderId="0" xfId="1" applyFont="1" applyAlignment="1">
      <alignment horizontal="center" vertical="center"/>
    </xf>
    <xf numFmtId="10" fontId="12" fillId="0" borderId="0" xfId="3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0" xfId="0" applyFont="1" applyBorder="1"/>
    <xf numFmtId="0" fontId="16" fillId="0" borderId="11" xfId="0" applyFont="1" applyBorder="1"/>
    <xf numFmtId="49" fontId="16" fillId="0" borderId="10" xfId="0" applyNumberFormat="1" applyFont="1" applyBorder="1"/>
    <xf numFmtId="49" fontId="16" fillId="0" borderId="11" xfId="0" applyNumberFormat="1" applyFont="1" applyBorder="1"/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0" fillId="0" borderId="0" xfId="0"/>
    <xf numFmtId="0" fontId="0" fillId="0" borderId="2" xfId="0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12" xfId="0" applyFont="1" applyBorder="1"/>
    <xf numFmtId="0" fontId="16" fillId="0" borderId="13" xfId="0" applyFont="1" applyBorder="1"/>
    <xf numFmtId="0" fontId="34" fillId="0" borderId="0" xfId="0" applyFont="1" applyAlignment="1">
      <alignment horizontal="center"/>
    </xf>
    <xf numFmtId="0" fontId="10" fillId="3" borderId="3" xfId="0" applyFont="1" applyFill="1" applyBorder="1" applyAlignment="1">
      <alignment horizontal="center" vertical="top" wrapText="1"/>
    </xf>
    <xf numFmtId="0" fontId="0" fillId="0" borderId="0" xfId="0" applyAlignment="1">
      <alignment horizontal="justify"/>
    </xf>
    <xf numFmtId="0" fontId="12" fillId="0" borderId="0" xfId="0" applyFont="1" applyAlignment="1">
      <alignment horizontal="left" wrapText="1"/>
    </xf>
    <xf numFmtId="0" fontId="13" fillId="0" borderId="0" xfId="0" applyFont="1" applyBorder="1"/>
    <xf numFmtId="0" fontId="15" fillId="0" borderId="0" xfId="0" applyFont="1" applyFill="1" applyBorder="1"/>
    <xf numFmtId="0" fontId="23" fillId="0" borderId="0" xfId="0" applyFont="1" applyFill="1" applyBorder="1" applyAlignment="1">
      <alignment horizontal="left" indent="1"/>
    </xf>
    <xf numFmtId="0" fontId="13" fillId="0" borderId="0" xfId="0" applyFont="1" applyFill="1" applyBorder="1"/>
    <xf numFmtId="0" fontId="24" fillId="0" borderId="0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21" fillId="0" borderId="0" xfId="0" applyFont="1" applyBorder="1" applyAlignment="1">
      <alignment horizontal="left" indent="1"/>
    </xf>
    <xf numFmtId="0" fontId="12" fillId="0" borderId="0" xfId="0" applyFont="1" applyAlignment="1">
      <alignment horizontal="left" vertical="center" wrapText="1"/>
    </xf>
    <xf numFmtId="9" fontId="17" fillId="0" borderId="3" xfId="3" applyFont="1" applyBorder="1" applyAlignment="1">
      <alignment horizontal="center"/>
    </xf>
    <xf numFmtId="9" fontId="17" fillId="0" borderId="7" xfId="3" applyFont="1" applyBorder="1" applyAlignment="1">
      <alignment horizontal="center"/>
    </xf>
    <xf numFmtId="9" fontId="16" fillId="0" borderId="4" xfId="3" applyFont="1" applyBorder="1" applyAlignment="1">
      <alignment horizontal="center"/>
    </xf>
    <xf numFmtId="9" fontId="0" fillId="0" borderId="0" xfId="3" applyFont="1" applyAlignment="1">
      <alignment horizontal="center"/>
    </xf>
    <xf numFmtId="9" fontId="5" fillId="0" borderId="0" xfId="3" applyFont="1" applyAlignment="1">
      <alignment horizontal="center"/>
    </xf>
    <xf numFmtId="9" fontId="0" fillId="0" borderId="2" xfId="3" applyFont="1" applyBorder="1" applyAlignment="1">
      <alignment horizontal="center"/>
    </xf>
    <xf numFmtId="9" fontId="3" fillId="0" borderId="0" xfId="3" applyFont="1" applyAlignment="1">
      <alignment horizontal="left"/>
    </xf>
    <xf numFmtId="9" fontId="3" fillId="0" borderId="0" xfId="3" applyFont="1" applyAlignment="1">
      <alignment horizontal="center"/>
    </xf>
    <xf numFmtId="9" fontId="16" fillId="0" borderId="3" xfId="3" applyFont="1" applyBorder="1" applyAlignment="1">
      <alignment horizontal="center"/>
    </xf>
    <xf numFmtId="9" fontId="17" fillId="0" borderId="3" xfId="3" applyFont="1" applyFill="1" applyBorder="1" applyAlignment="1">
      <alignment horizontal="center"/>
    </xf>
    <xf numFmtId="9" fontId="17" fillId="0" borderId="7" xfId="3" applyFont="1" applyFill="1" applyBorder="1" applyAlignment="1">
      <alignment horizontal="center"/>
    </xf>
    <xf numFmtId="0" fontId="16" fillId="0" borderId="22" xfId="0" applyFont="1" applyBorder="1" applyAlignment="1">
      <alignment horizontal="left"/>
    </xf>
    <xf numFmtId="0" fontId="16" fillId="0" borderId="23" xfId="0" applyFont="1" applyBorder="1" applyAlignment="1">
      <alignment horizontal="left"/>
    </xf>
    <xf numFmtId="9" fontId="17" fillId="0" borderId="3" xfId="3" applyFont="1" applyBorder="1"/>
    <xf numFmtId="167" fontId="36" fillId="5" borderId="3" xfId="3" applyNumberFormat="1" applyFont="1" applyFill="1" applyBorder="1" applyAlignment="1" applyProtection="1">
      <alignment horizontal="center" vertical="center"/>
    </xf>
  </cellXfs>
  <cellStyles count="4">
    <cellStyle name="Moeda" xfId="1" builtinId="4"/>
    <cellStyle name="Normal" xfId="0" builtinId="0"/>
    <cellStyle name="Porcentagem" xfId="3" builtinId="5"/>
    <cellStyle name="Separador de milhares" xfId="2" builtinId="3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ontecarlo.sc.gov.br/home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ontecarlo.sc.gov.br/home/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1</xdr:row>
      <xdr:rowOff>9525</xdr:rowOff>
    </xdr:from>
    <xdr:to>
      <xdr:col>2</xdr:col>
      <xdr:colOff>457200</xdr:colOff>
      <xdr:row>4</xdr:row>
      <xdr:rowOff>152400</xdr:rowOff>
    </xdr:to>
    <xdr:pic>
      <xdr:nvPicPr>
        <xdr:cNvPr id="2" name="Picture 1" descr="http://www.montecarlo.sc.gov.br/arquivosdb/prefeitura/0.086595001231863910_montecarlo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2925" y="57150"/>
          <a:ext cx="714375" cy="7334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94054</xdr:colOff>
      <xdr:row>1</xdr:row>
      <xdr:rowOff>0</xdr:rowOff>
    </xdr:from>
    <xdr:to>
      <xdr:col>2</xdr:col>
      <xdr:colOff>209550</xdr:colOff>
      <xdr:row>4</xdr:row>
      <xdr:rowOff>137965</xdr:rowOff>
    </xdr:to>
    <xdr:pic>
      <xdr:nvPicPr>
        <xdr:cNvPr id="2" name="Picture 1" descr="http://www.montecarlo.sc.gov.br/arquivosdb/prefeitura/0.086595001231863910_montecarlo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579" y="76200"/>
          <a:ext cx="725096" cy="76661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400051</xdr:colOff>
      <xdr:row>1</xdr:row>
      <xdr:rowOff>9525</xdr:rowOff>
    </xdr:from>
    <xdr:to>
      <xdr:col>1</xdr:col>
      <xdr:colOff>228601</xdr:colOff>
      <xdr:row>3</xdr:row>
      <xdr:rowOff>152400</xdr:rowOff>
    </xdr:to>
    <xdr:pic>
      <xdr:nvPicPr>
        <xdr:cNvPr id="2" name="Imagem 5" descr="clip_image0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1" y="200025"/>
          <a:ext cx="438150" cy="628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7"/>
  <sheetViews>
    <sheetView tabSelected="1" topLeftCell="A199" workbookViewId="0">
      <selection activeCell="L5" sqref="L5"/>
    </sheetView>
  </sheetViews>
  <sheetFormatPr defaultRowHeight="15"/>
  <cols>
    <col min="1" max="1" width="3.85546875" style="2" customWidth="1"/>
    <col min="2" max="2" width="9.140625" style="2" customWidth="1"/>
    <col min="3" max="3" width="12" style="2" customWidth="1"/>
    <col min="4" max="4" width="116.28515625" style="2" customWidth="1"/>
    <col min="5" max="5" width="10.85546875" style="12" customWidth="1"/>
    <col min="6" max="6" width="5.140625" style="12" bestFit="1" customWidth="1"/>
    <col min="7" max="7" width="15.42578125" style="11" customWidth="1"/>
    <col min="8" max="8" width="15.7109375" style="11" customWidth="1"/>
    <col min="9" max="9" width="11.42578125" style="11" customWidth="1"/>
    <col min="10" max="10" width="18" style="11" customWidth="1"/>
    <col min="11" max="11" width="14.5703125" style="24" customWidth="1"/>
    <col min="12" max="12" width="41.7109375" style="23" customWidth="1"/>
    <col min="13" max="15" width="8.140625" style="23" customWidth="1"/>
  </cols>
  <sheetData>
    <row r="1" spans="1:15" ht="3.75" customHeight="1"/>
    <row r="2" spans="1:15">
      <c r="B2" s="180"/>
      <c r="C2" s="180"/>
      <c r="G2" s="217"/>
      <c r="H2" s="217"/>
    </row>
    <row r="3" spans="1:15" ht="15.75">
      <c r="B3" s="180"/>
      <c r="C3" s="180"/>
      <c r="D3" s="222" t="s">
        <v>18</v>
      </c>
      <c r="E3" s="20"/>
      <c r="F3" s="20"/>
      <c r="G3" s="218"/>
      <c r="H3" s="219"/>
      <c r="I3" s="55"/>
      <c r="J3" s="55"/>
    </row>
    <row r="4" spans="1:15" ht="15.75">
      <c r="B4" s="180"/>
      <c r="C4" s="180"/>
      <c r="D4" s="223" t="s">
        <v>4</v>
      </c>
      <c r="G4" s="220"/>
      <c r="H4" s="221"/>
      <c r="I4" s="56"/>
      <c r="J4" s="56"/>
    </row>
    <row r="5" spans="1:15" ht="15.75" thickBot="1">
      <c r="B5" s="180"/>
      <c r="C5" s="180"/>
    </row>
    <row r="6" spans="1:15" ht="12.75" customHeight="1">
      <c r="B6" s="181"/>
      <c r="C6" s="181"/>
      <c r="D6" s="181"/>
    </row>
    <row r="7" spans="1:15">
      <c r="A7" s="182" t="s">
        <v>6</v>
      </c>
      <c r="B7" s="182"/>
      <c r="C7" s="183" t="s">
        <v>305</v>
      </c>
      <c r="D7" s="183"/>
      <c r="E7" s="183"/>
      <c r="F7" s="183"/>
      <c r="G7" s="183"/>
    </row>
    <row r="8" spans="1:15">
      <c r="A8" s="182" t="s">
        <v>7</v>
      </c>
      <c r="B8" s="182"/>
      <c r="C8" s="183" t="s">
        <v>112</v>
      </c>
      <c r="D8" s="183"/>
      <c r="H8" s="8"/>
      <c r="I8" s="8"/>
      <c r="J8" s="8"/>
    </row>
    <row r="9" spans="1:15">
      <c r="A9" s="182" t="s">
        <v>8</v>
      </c>
      <c r="B9" s="182"/>
      <c r="C9" s="183" t="s">
        <v>338</v>
      </c>
      <c r="D9" s="183"/>
      <c r="H9" s="28"/>
      <c r="I9" s="28"/>
      <c r="J9" s="28"/>
    </row>
    <row r="10" spans="1:15">
      <c r="A10" s="180"/>
      <c r="B10" s="180"/>
    </row>
    <row r="11" spans="1:15">
      <c r="A11" s="173" t="s">
        <v>70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08"/>
    </row>
    <row r="12" spans="1:15">
      <c r="A12" s="11"/>
      <c r="B12" s="185"/>
      <c r="C12" s="185"/>
      <c r="D12" s="185"/>
    </row>
    <row r="13" spans="1:15">
      <c r="A13" s="184" t="s">
        <v>0</v>
      </c>
      <c r="B13" s="184"/>
      <c r="C13" s="184"/>
      <c r="D13" s="184"/>
      <c r="E13" s="18" t="s">
        <v>1</v>
      </c>
      <c r="F13" s="18" t="s">
        <v>2</v>
      </c>
      <c r="G13" s="18" t="s">
        <v>49</v>
      </c>
      <c r="H13" s="18" t="s">
        <v>3</v>
      </c>
      <c r="I13" s="18" t="s">
        <v>29</v>
      </c>
      <c r="J13" s="18" t="s">
        <v>47</v>
      </c>
      <c r="K13" s="40" t="s">
        <v>341</v>
      </c>
      <c r="L13" s="48"/>
    </row>
    <row r="14" spans="1:15">
      <c r="A14" s="133" t="s">
        <v>209</v>
      </c>
      <c r="B14" s="133" t="s">
        <v>210</v>
      </c>
      <c r="C14" s="131"/>
      <c r="D14" s="131"/>
      <c r="E14" s="8"/>
      <c r="F14" s="8"/>
      <c r="G14" s="8"/>
      <c r="H14" s="8"/>
      <c r="I14" s="8"/>
      <c r="J14" s="8"/>
      <c r="K14" s="111"/>
      <c r="L14" s="48"/>
    </row>
    <row r="15" spans="1:15">
      <c r="A15" s="166" t="s">
        <v>211</v>
      </c>
      <c r="B15" s="166"/>
      <c r="C15" s="166"/>
      <c r="D15" s="166"/>
      <c r="F15" s="8"/>
      <c r="G15" s="19"/>
      <c r="H15" s="22"/>
      <c r="I15" s="22"/>
      <c r="J15" s="22"/>
    </row>
    <row r="16" spans="1:15" s="13" customFormat="1">
      <c r="A16" s="33">
        <v>1</v>
      </c>
      <c r="B16" s="163" t="s">
        <v>71</v>
      </c>
      <c r="C16" s="163"/>
      <c r="D16" s="163"/>
      <c r="E16" s="30">
        <v>3</v>
      </c>
      <c r="F16" s="100" t="s">
        <v>10</v>
      </c>
      <c r="G16" s="32">
        <v>250</v>
      </c>
      <c r="H16" s="19">
        <f>G16*E16</f>
        <v>750</v>
      </c>
      <c r="I16" s="57">
        <v>0.27</v>
      </c>
      <c r="J16" s="19">
        <f>(H16*0.27)+H16</f>
        <v>952.5</v>
      </c>
      <c r="K16" s="79" t="s">
        <v>313</v>
      </c>
      <c r="L16" s="29"/>
      <c r="M16" s="25"/>
      <c r="N16" s="25"/>
      <c r="O16" s="25"/>
    </row>
    <row r="17" spans="1:15" s="13" customFormat="1" ht="13.5" customHeight="1">
      <c r="A17" s="168">
        <v>2</v>
      </c>
      <c r="B17" s="162" t="s">
        <v>309</v>
      </c>
      <c r="C17" s="162"/>
      <c r="D17" s="162"/>
      <c r="E17" s="175">
        <v>6</v>
      </c>
      <c r="F17" s="177" t="s">
        <v>10</v>
      </c>
      <c r="G17" s="172">
        <v>507.95</v>
      </c>
      <c r="H17" s="178">
        <f>G17*E17</f>
        <v>3047.7</v>
      </c>
      <c r="I17" s="179">
        <v>0</v>
      </c>
      <c r="J17" s="178">
        <f>H17</f>
        <v>3047.7</v>
      </c>
      <c r="K17" s="176" t="s">
        <v>141</v>
      </c>
      <c r="L17" s="111"/>
      <c r="M17" s="25"/>
      <c r="N17" s="25"/>
      <c r="O17" s="25"/>
    </row>
    <row r="18" spans="1:15" s="13" customFormat="1" hidden="1">
      <c r="A18" s="168"/>
      <c r="B18" s="174" t="s">
        <v>72</v>
      </c>
      <c r="C18" s="174"/>
      <c r="D18" s="174"/>
      <c r="E18" s="175"/>
      <c r="F18" s="177"/>
      <c r="G18" s="172"/>
      <c r="H18" s="178"/>
      <c r="I18" s="179"/>
      <c r="J18" s="178"/>
      <c r="K18" s="176"/>
      <c r="L18" s="29"/>
      <c r="M18" s="25"/>
      <c r="N18" s="25"/>
      <c r="O18" s="25"/>
    </row>
    <row r="19" spans="1:15" s="13" customFormat="1">
      <c r="A19" s="33"/>
      <c r="B19" s="33"/>
      <c r="C19" s="33"/>
      <c r="D19" s="165" t="s">
        <v>20</v>
      </c>
      <c r="E19" s="165"/>
      <c r="F19" s="165"/>
      <c r="G19" s="10"/>
      <c r="H19" s="46">
        <f>H16+H17</f>
        <v>3797.7</v>
      </c>
      <c r="I19" s="57"/>
      <c r="J19" s="58">
        <f>J16+J17</f>
        <v>4000.2</v>
      </c>
      <c r="K19" s="46"/>
      <c r="L19" s="29"/>
      <c r="M19" s="25"/>
      <c r="N19" s="25"/>
      <c r="O19" s="25"/>
    </row>
    <row r="20" spans="1:15" s="13" customFormat="1">
      <c r="A20" s="33"/>
      <c r="B20" s="33"/>
      <c r="C20" s="33"/>
      <c r="D20" s="143"/>
      <c r="E20" s="143"/>
      <c r="F20" s="143"/>
      <c r="G20" s="10"/>
      <c r="H20" s="46"/>
      <c r="I20" s="57"/>
      <c r="J20" s="58"/>
      <c r="K20" s="46"/>
      <c r="L20" s="29"/>
      <c r="M20" s="25"/>
      <c r="N20" s="25"/>
      <c r="O20" s="25"/>
    </row>
    <row r="21" spans="1:15" s="6" customFormat="1">
      <c r="A21" s="166" t="s">
        <v>223</v>
      </c>
      <c r="B21" s="166"/>
      <c r="C21" s="166"/>
      <c r="D21" s="166"/>
      <c r="E21" s="42"/>
      <c r="F21" s="121"/>
      <c r="G21" s="43"/>
      <c r="H21" s="34"/>
      <c r="I21" s="57"/>
      <c r="J21" s="19"/>
      <c r="K21" s="26"/>
      <c r="L21" s="27"/>
      <c r="M21" s="27"/>
      <c r="N21" s="27"/>
      <c r="O21" s="27"/>
    </row>
    <row r="22" spans="1:15" s="6" customFormat="1">
      <c r="A22" s="33">
        <v>1</v>
      </c>
      <c r="B22" s="162" t="s">
        <v>76</v>
      </c>
      <c r="C22" s="162"/>
      <c r="D22" s="162"/>
      <c r="E22" s="30">
        <v>20</v>
      </c>
      <c r="F22" s="100" t="s">
        <v>10</v>
      </c>
      <c r="G22" s="32">
        <v>70</v>
      </c>
      <c r="H22" s="19">
        <f>E22*G22</f>
        <v>1400</v>
      </c>
      <c r="I22" s="57">
        <v>0.27</v>
      </c>
      <c r="J22" s="19">
        <f>(H22*0.27)+H22</f>
        <v>1778</v>
      </c>
      <c r="K22" s="37" t="s">
        <v>252</v>
      </c>
      <c r="L22" s="27"/>
      <c r="M22" s="27"/>
      <c r="N22" s="27"/>
      <c r="O22" s="27"/>
    </row>
    <row r="23" spans="1:15" s="6" customFormat="1">
      <c r="A23" s="33">
        <v>2</v>
      </c>
      <c r="B23" s="162" t="s">
        <v>253</v>
      </c>
      <c r="C23" s="162"/>
      <c r="D23" s="162"/>
      <c r="E23" s="30">
        <v>2</v>
      </c>
      <c r="F23" s="100" t="s">
        <v>11</v>
      </c>
      <c r="G23" s="32">
        <v>589.29999999999995</v>
      </c>
      <c r="H23" s="19">
        <f>E23*G23</f>
        <v>1178.5999999999999</v>
      </c>
      <c r="I23" s="57">
        <v>0.27</v>
      </c>
      <c r="J23" s="19">
        <f>(H23*0.27)+H23</f>
        <v>1496.8219999999999</v>
      </c>
      <c r="K23" s="37" t="s">
        <v>237</v>
      </c>
      <c r="L23" s="27"/>
      <c r="M23" s="27"/>
      <c r="N23" s="27"/>
      <c r="O23" s="27"/>
    </row>
    <row r="24" spans="1:15" s="6" customFormat="1">
      <c r="A24" s="41"/>
      <c r="B24" s="171" t="s">
        <v>23</v>
      </c>
      <c r="C24" s="171"/>
      <c r="D24" s="171"/>
      <c r="E24" s="42"/>
      <c r="F24" s="121"/>
      <c r="G24" s="43"/>
      <c r="H24" s="34">
        <f>H22+H23</f>
        <v>2578.6</v>
      </c>
      <c r="I24" s="57"/>
      <c r="J24" s="58">
        <f>J22+J23</f>
        <v>3274.8220000000001</v>
      </c>
      <c r="K24" s="26"/>
      <c r="L24" s="27"/>
      <c r="M24" s="27"/>
      <c r="N24" s="27"/>
      <c r="O24" s="27"/>
    </row>
    <row r="25" spans="1:15" s="13" customFormat="1">
      <c r="A25" s="33"/>
      <c r="B25" s="33"/>
      <c r="C25" s="33"/>
      <c r="D25" s="143"/>
      <c r="E25" s="143"/>
      <c r="F25" s="143"/>
      <c r="G25" s="10"/>
      <c r="H25" s="46"/>
      <c r="I25" s="57"/>
      <c r="J25" s="58"/>
      <c r="K25" s="46"/>
      <c r="L25" s="29"/>
      <c r="M25" s="25"/>
      <c r="N25" s="25"/>
      <c r="O25" s="25"/>
    </row>
    <row r="26" spans="1:15">
      <c r="A26" s="165" t="s">
        <v>224</v>
      </c>
      <c r="B26" s="165"/>
      <c r="C26" s="165"/>
      <c r="D26" s="165"/>
      <c r="E26" s="30"/>
      <c r="F26" s="100"/>
      <c r="G26" s="32"/>
      <c r="H26" s="10"/>
      <c r="I26" s="57"/>
      <c r="J26" s="19"/>
      <c r="K26" s="37"/>
    </row>
    <row r="27" spans="1:15">
      <c r="A27" s="33">
        <v>1</v>
      </c>
      <c r="B27" s="162" t="s">
        <v>24</v>
      </c>
      <c r="C27" s="162"/>
      <c r="D27" s="162"/>
      <c r="E27" s="30">
        <v>3.41</v>
      </c>
      <c r="F27" s="100" t="s">
        <v>11</v>
      </c>
      <c r="G27" s="32">
        <v>104.45</v>
      </c>
      <c r="H27" s="19">
        <f>E27*G27</f>
        <v>356.17450000000002</v>
      </c>
      <c r="I27" s="57">
        <v>0.27</v>
      </c>
      <c r="J27" s="19">
        <f>(H27*0.27)+H27</f>
        <v>452.34161500000005</v>
      </c>
      <c r="K27" s="37" t="s">
        <v>301</v>
      </c>
    </row>
    <row r="28" spans="1:15">
      <c r="A28" s="33">
        <v>2</v>
      </c>
      <c r="B28" s="162" t="s">
        <v>25</v>
      </c>
      <c r="C28" s="162"/>
      <c r="D28" s="162"/>
      <c r="E28" s="30">
        <v>68.16</v>
      </c>
      <c r="F28" s="100" t="s">
        <v>10</v>
      </c>
      <c r="G28" s="32">
        <v>60.07</v>
      </c>
      <c r="H28" s="19">
        <f>E28*G28</f>
        <v>4094.3711999999996</v>
      </c>
      <c r="I28" s="57">
        <v>0.27</v>
      </c>
      <c r="J28" s="19">
        <f t="shared" ref="J28:J31" si="0">(H28*0.27)+H28</f>
        <v>5199.8514239999995</v>
      </c>
      <c r="K28" s="37" t="s">
        <v>75</v>
      </c>
    </row>
    <row r="29" spans="1:15">
      <c r="A29" s="33">
        <v>3</v>
      </c>
      <c r="B29" s="163" t="s">
        <v>254</v>
      </c>
      <c r="C29" s="163"/>
      <c r="D29" s="163"/>
      <c r="E29" s="30">
        <v>68.16</v>
      </c>
      <c r="F29" s="100" t="s">
        <v>10</v>
      </c>
      <c r="G29" s="32">
        <v>145.4</v>
      </c>
      <c r="H29" s="19">
        <f>E29*G29</f>
        <v>9910.4639999999999</v>
      </c>
      <c r="I29" s="57">
        <v>0.27</v>
      </c>
      <c r="J29" s="19">
        <f t="shared" si="0"/>
        <v>12586.289280000001</v>
      </c>
      <c r="K29" s="37" t="s">
        <v>142</v>
      </c>
    </row>
    <row r="30" spans="1:15">
      <c r="A30" s="33">
        <v>4</v>
      </c>
      <c r="B30" s="162" t="s">
        <v>100</v>
      </c>
      <c r="C30" s="162"/>
      <c r="D30" s="162"/>
      <c r="E30" s="30">
        <v>57</v>
      </c>
      <c r="F30" s="100" t="s">
        <v>48</v>
      </c>
      <c r="G30" s="32">
        <v>14.84</v>
      </c>
      <c r="H30" s="19">
        <f>E30*G30</f>
        <v>845.88</v>
      </c>
      <c r="I30" s="57">
        <v>0.27</v>
      </c>
      <c r="J30" s="19">
        <f t="shared" si="0"/>
        <v>1074.2676000000001</v>
      </c>
      <c r="K30" s="37" t="s">
        <v>143</v>
      </c>
    </row>
    <row r="31" spans="1:15">
      <c r="A31" s="33">
        <v>5</v>
      </c>
      <c r="B31" s="162" t="s">
        <v>218</v>
      </c>
      <c r="C31" s="162"/>
      <c r="D31" s="162"/>
      <c r="E31" s="30">
        <v>2.6</v>
      </c>
      <c r="F31" s="100" t="s">
        <v>48</v>
      </c>
      <c r="G31" s="32">
        <v>119.88</v>
      </c>
      <c r="H31" s="19">
        <f>E31*G31</f>
        <v>311.68799999999999</v>
      </c>
      <c r="I31" s="57">
        <v>0.27</v>
      </c>
      <c r="J31" s="19">
        <f t="shared" si="0"/>
        <v>395.84375999999997</v>
      </c>
      <c r="K31" s="37" t="s">
        <v>183</v>
      </c>
    </row>
    <row r="32" spans="1:15">
      <c r="A32" s="33"/>
      <c r="B32" s="171" t="s">
        <v>26</v>
      </c>
      <c r="C32" s="171"/>
      <c r="D32" s="171"/>
      <c r="E32" s="30"/>
      <c r="F32" s="100"/>
      <c r="G32" s="32"/>
      <c r="H32" s="34">
        <f>SUM(H27:H31)</f>
        <v>15518.577699999998</v>
      </c>
      <c r="I32" s="57"/>
      <c r="J32" s="58">
        <f>SUM(J27:J31)</f>
        <v>19708.593679000001</v>
      </c>
      <c r="K32" s="37"/>
    </row>
    <row r="33" spans="1:18">
      <c r="A33" s="165" t="s">
        <v>225</v>
      </c>
      <c r="B33" s="165"/>
      <c r="C33" s="165"/>
      <c r="D33" s="165"/>
      <c r="E33" s="30"/>
      <c r="F33" s="100"/>
      <c r="G33" s="32"/>
      <c r="H33" s="34"/>
      <c r="I33" s="57"/>
      <c r="J33" s="19"/>
      <c r="K33" s="37"/>
    </row>
    <row r="34" spans="1:18" ht="14.25" customHeight="1">
      <c r="A34" s="33">
        <v>1</v>
      </c>
      <c r="B34" s="163" t="s">
        <v>271</v>
      </c>
      <c r="C34" s="163"/>
      <c r="D34" s="163"/>
      <c r="E34" s="30">
        <v>520</v>
      </c>
      <c r="F34" s="100" t="s">
        <v>10</v>
      </c>
      <c r="G34" s="32">
        <v>4.37</v>
      </c>
      <c r="H34" s="19">
        <f>E34*G34</f>
        <v>2272.4</v>
      </c>
      <c r="I34" s="57">
        <v>0.27</v>
      </c>
      <c r="J34" s="19">
        <f>(H34*0.27)+H34</f>
        <v>2885.9480000000003</v>
      </c>
      <c r="K34" s="98" t="s">
        <v>96</v>
      </c>
    </row>
    <row r="35" spans="1:18">
      <c r="A35" s="33">
        <v>2</v>
      </c>
      <c r="B35" s="163" t="s">
        <v>52</v>
      </c>
      <c r="C35" s="163"/>
      <c r="D35" s="163"/>
      <c r="E35" s="30">
        <v>96</v>
      </c>
      <c r="F35" s="100" t="s">
        <v>10</v>
      </c>
      <c r="G35" s="32">
        <v>21.63</v>
      </c>
      <c r="H35" s="19">
        <f>E35*G35</f>
        <v>2076.48</v>
      </c>
      <c r="I35" s="57">
        <v>0.27</v>
      </c>
      <c r="J35" s="19">
        <f t="shared" ref="J35:J41" si="1">(H35*0.27)+H35</f>
        <v>2637.1296000000002</v>
      </c>
      <c r="K35" s="98" t="s">
        <v>125</v>
      </c>
      <c r="L35" s="164" t="s">
        <v>219</v>
      </c>
      <c r="M35" s="164"/>
      <c r="N35" s="164"/>
      <c r="O35" s="164" t="s">
        <v>220</v>
      </c>
      <c r="P35" s="164"/>
      <c r="Q35" s="164"/>
      <c r="R35" s="21"/>
    </row>
    <row r="36" spans="1:18">
      <c r="A36" s="33">
        <v>3</v>
      </c>
      <c r="B36" s="163" t="s">
        <v>53</v>
      </c>
      <c r="C36" s="163"/>
      <c r="D36" s="163"/>
      <c r="E36" s="30">
        <v>424</v>
      </c>
      <c r="F36" s="100" t="s">
        <v>10</v>
      </c>
      <c r="G36" s="32">
        <v>38.15</v>
      </c>
      <c r="H36" s="19">
        <f>E36*G36</f>
        <v>16175.599999999999</v>
      </c>
      <c r="I36" s="57">
        <v>0.27</v>
      </c>
      <c r="J36" s="19">
        <f t="shared" si="1"/>
        <v>20543.011999999999</v>
      </c>
      <c r="K36" s="98" t="s">
        <v>124</v>
      </c>
      <c r="L36" s="164" t="s">
        <v>185</v>
      </c>
      <c r="M36" s="164"/>
      <c r="N36" s="164"/>
    </row>
    <row r="37" spans="1:18">
      <c r="A37" s="33">
        <v>4</v>
      </c>
      <c r="B37" s="162" t="s">
        <v>255</v>
      </c>
      <c r="C37" s="162"/>
      <c r="D37" s="162"/>
      <c r="E37" s="30">
        <v>96</v>
      </c>
      <c r="F37" s="100" t="s">
        <v>10</v>
      </c>
      <c r="G37" s="32">
        <v>101.8</v>
      </c>
      <c r="H37" s="31">
        <f>E37*G37</f>
        <v>9772.7999999999993</v>
      </c>
      <c r="I37" s="57">
        <v>0.27</v>
      </c>
      <c r="J37" s="19">
        <f t="shared" si="1"/>
        <v>12411.455999999998</v>
      </c>
      <c r="K37" s="98" t="s">
        <v>199</v>
      </c>
      <c r="L37" s="99"/>
      <c r="M37" s="99"/>
      <c r="N37" s="99"/>
      <c r="O37" s="99"/>
    </row>
    <row r="38" spans="1:18">
      <c r="A38" s="33">
        <v>5</v>
      </c>
      <c r="B38" s="162" t="s">
        <v>145</v>
      </c>
      <c r="C38" s="162"/>
      <c r="D38" s="162"/>
      <c r="E38" s="30">
        <v>9.9</v>
      </c>
      <c r="F38" s="100" t="s">
        <v>48</v>
      </c>
      <c r="G38" s="32">
        <v>165.19</v>
      </c>
      <c r="H38" s="19">
        <f>E38*G38</f>
        <v>1635.3810000000001</v>
      </c>
      <c r="I38" s="57">
        <v>0.27</v>
      </c>
      <c r="J38" s="19">
        <f t="shared" si="1"/>
        <v>2076.9338700000003</v>
      </c>
      <c r="K38" s="98" t="s">
        <v>144</v>
      </c>
    </row>
    <row r="39" spans="1:18" s="13" customFormat="1">
      <c r="A39" s="33">
        <v>6</v>
      </c>
      <c r="B39" s="162" t="s">
        <v>222</v>
      </c>
      <c r="C39" s="165"/>
      <c r="D39" s="165"/>
      <c r="E39" s="30">
        <v>184</v>
      </c>
      <c r="F39" s="100" t="s">
        <v>10</v>
      </c>
      <c r="G39" s="32">
        <v>22.12</v>
      </c>
      <c r="H39" s="32">
        <f>G39*E39</f>
        <v>4070.0800000000004</v>
      </c>
      <c r="I39" s="57">
        <v>0.27</v>
      </c>
      <c r="J39" s="19">
        <f t="shared" si="1"/>
        <v>5169.0016000000005</v>
      </c>
      <c r="K39" s="111" t="s">
        <v>184</v>
      </c>
      <c r="L39" s="117"/>
      <c r="M39" s="117"/>
      <c r="N39" s="117"/>
      <c r="O39" s="117"/>
    </row>
    <row r="40" spans="1:18" s="13" customFormat="1">
      <c r="A40" s="152">
        <v>7</v>
      </c>
      <c r="B40" s="216" t="s">
        <v>311</v>
      </c>
      <c r="C40" s="165"/>
      <c r="D40" s="165"/>
      <c r="E40" s="30">
        <v>47</v>
      </c>
      <c r="F40" s="100" t="s">
        <v>50</v>
      </c>
      <c r="G40" s="32">
        <v>52.53</v>
      </c>
      <c r="H40" s="32">
        <f>G40*E40</f>
        <v>2468.91</v>
      </c>
      <c r="I40" s="57">
        <v>0.27</v>
      </c>
      <c r="J40" s="19">
        <f t="shared" ref="J40" si="2">(H40*0.27)+H40</f>
        <v>3135.5156999999999</v>
      </c>
      <c r="K40" s="111" t="s">
        <v>310</v>
      </c>
      <c r="L40" s="117"/>
      <c r="M40" s="117"/>
      <c r="N40" s="117"/>
      <c r="O40" s="117"/>
    </row>
    <row r="41" spans="1:18" s="78" customFormat="1">
      <c r="A41" s="152">
        <v>8</v>
      </c>
      <c r="B41" s="162" t="s">
        <v>256</v>
      </c>
      <c r="C41" s="165"/>
      <c r="D41" s="165"/>
      <c r="E41" s="30">
        <v>18</v>
      </c>
      <c r="F41" s="100" t="s">
        <v>10</v>
      </c>
      <c r="G41" s="32">
        <v>70.91</v>
      </c>
      <c r="H41" s="32">
        <f>G41*E41</f>
        <v>1276.3799999999999</v>
      </c>
      <c r="I41" s="113">
        <v>0.27</v>
      </c>
      <c r="J41" s="10">
        <f t="shared" si="1"/>
        <v>1621.0025999999998</v>
      </c>
      <c r="K41" s="111" t="s">
        <v>217</v>
      </c>
      <c r="L41" s="132"/>
      <c r="M41" s="132"/>
      <c r="N41" s="132"/>
      <c r="O41" s="132"/>
    </row>
    <row r="42" spans="1:18">
      <c r="A42" s="33"/>
      <c r="B42" s="171" t="s">
        <v>97</v>
      </c>
      <c r="C42" s="171"/>
      <c r="D42" s="171"/>
      <c r="E42" s="30"/>
      <c r="F42" s="100"/>
      <c r="G42" s="32"/>
      <c r="H42" s="34">
        <f>SUM(H34:H41)</f>
        <v>39748.030999999995</v>
      </c>
      <c r="I42" s="57"/>
      <c r="J42" s="58">
        <f>SUM(J34:J41)</f>
        <v>50479.999369999998</v>
      </c>
      <c r="K42" s="37"/>
    </row>
    <row r="43" spans="1:18">
      <c r="A43" s="165" t="s">
        <v>226</v>
      </c>
      <c r="B43" s="165"/>
      <c r="C43" s="165"/>
      <c r="D43" s="165"/>
      <c r="E43" s="30"/>
      <c r="F43" s="100"/>
      <c r="G43" s="32"/>
      <c r="H43" s="34"/>
      <c r="I43" s="57"/>
      <c r="J43" s="19"/>
      <c r="K43" s="37"/>
    </row>
    <row r="44" spans="1:18">
      <c r="A44" s="33">
        <v>1</v>
      </c>
      <c r="B44" s="163" t="s">
        <v>98</v>
      </c>
      <c r="C44" s="163"/>
      <c r="D44" s="163"/>
      <c r="E44" s="30">
        <v>68.16</v>
      </c>
      <c r="F44" s="100" t="s">
        <v>10</v>
      </c>
      <c r="G44" s="32">
        <v>6.34</v>
      </c>
      <c r="H44" s="19">
        <f>G44*E44</f>
        <v>432.13439999999997</v>
      </c>
      <c r="I44" s="57">
        <v>0.27</v>
      </c>
      <c r="J44" s="19">
        <f>(H44*0.27)+H44</f>
        <v>548.81068800000003</v>
      </c>
      <c r="K44" s="98" t="s">
        <v>99</v>
      </c>
    </row>
    <row r="45" spans="1:18">
      <c r="A45" s="33">
        <v>2</v>
      </c>
      <c r="B45" s="163" t="s">
        <v>148</v>
      </c>
      <c r="C45" s="163"/>
      <c r="D45" s="163"/>
      <c r="E45" s="30">
        <v>68.16</v>
      </c>
      <c r="F45" s="100" t="s">
        <v>10</v>
      </c>
      <c r="G45" s="32">
        <v>48.99</v>
      </c>
      <c r="H45" s="19">
        <f>G45*E45</f>
        <v>3339.1583999999998</v>
      </c>
      <c r="I45" s="57">
        <v>0.27</v>
      </c>
      <c r="J45" s="19">
        <f>(H45*0.27)+H45</f>
        <v>4240.7311680000003</v>
      </c>
      <c r="K45" s="98" t="s">
        <v>147</v>
      </c>
    </row>
    <row r="46" spans="1:18">
      <c r="A46" s="33"/>
      <c r="B46" s="171" t="s">
        <v>59</v>
      </c>
      <c r="C46" s="171"/>
      <c r="D46" s="171"/>
      <c r="E46" s="30"/>
      <c r="F46" s="100"/>
      <c r="G46" s="32"/>
      <c r="H46" s="34">
        <f>H44+H45</f>
        <v>3771.2927999999997</v>
      </c>
      <c r="I46" s="57"/>
      <c r="J46" s="58">
        <f>J44+J45</f>
        <v>4789.5418559999998</v>
      </c>
      <c r="K46" s="37"/>
    </row>
    <row r="47" spans="1:18">
      <c r="A47" s="165" t="s">
        <v>227</v>
      </c>
      <c r="B47" s="165"/>
      <c r="C47" s="165"/>
      <c r="D47" s="165"/>
      <c r="E47" s="30"/>
      <c r="F47" s="100"/>
      <c r="G47" s="32"/>
      <c r="H47" s="34"/>
      <c r="I47" s="57"/>
      <c r="J47" s="19"/>
      <c r="K47" s="37"/>
    </row>
    <row r="48" spans="1:18">
      <c r="A48" s="33">
        <v>1</v>
      </c>
      <c r="B48" s="162" t="s">
        <v>186</v>
      </c>
      <c r="C48" s="162"/>
      <c r="D48" s="162"/>
      <c r="E48" s="30">
        <v>6.36</v>
      </c>
      <c r="F48" s="100" t="s">
        <v>10</v>
      </c>
      <c r="G48" s="32">
        <v>316.47000000000003</v>
      </c>
      <c r="H48" s="19">
        <f t="shared" ref="H48:H55" si="3">G48*E48</f>
        <v>2012.7492000000002</v>
      </c>
      <c r="I48" s="57">
        <v>0.27</v>
      </c>
      <c r="J48" s="19">
        <f>(H48*0.27)+H48</f>
        <v>2556.1914840000004</v>
      </c>
      <c r="K48" s="50" t="s">
        <v>149</v>
      </c>
    </row>
    <row r="49" spans="1:15">
      <c r="A49" s="33">
        <v>2</v>
      </c>
      <c r="B49" s="162" t="s">
        <v>103</v>
      </c>
      <c r="C49" s="162"/>
      <c r="D49" s="162"/>
      <c r="E49" s="30">
        <v>3.78</v>
      </c>
      <c r="F49" s="100" t="s">
        <v>10</v>
      </c>
      <c r="G49" s="32">
        <v>416</v>
      </c>
      <c r="H49" s="19">
        <f t="shared" si="3"/>
        <v>1572.48</v>
      </c>
      <c r="I49" s="57">
        <v>0.27</v>
      </c>
      <c r="J49" s="19">
        <f t="shared" ref="J49:J56" si="4">(H49*0.27)+H49</f>
        <v>1997.0496000000001</v>
      </c>
      <c r="K49" s="50" t="s">
        <v>150</v>
      </c>
    </row>
    <row r="50" spans="1:15" ht="24.75" customHeight="1">
      <c r="A50" s="33">
        <v>3</v>
      </c>
      <c r="B50" s="216" t="s">
        <v>257</v>
      </c>
      <c r="C50" s="216"/>
      <c r="D50" s="216"/>
      <c r="E50" s="30">
        <v>1</v>
      </c>
      <c r="F50" s="100" t="s">
        <v>22</v>
      </c>
      <c r="G50" s="32">
        <v>1635.36</v>
      </c>
      <c r="H50" s="19">
        <f>G50*E50</f>
        <v>1635.36</v>
      </c>
      <c r="I50" s="57">
        <v>0.27</v>
      </c>
      <c r="J50" s="19">
        <f t="shared" si="4"/>
        <v>2076.9071999999996</v>
      </c>
      <c r="K50" s="50" t="s">
        <v>151</v>
      </c>
    </row>
    <row r="51" spans="1:15">
      <c r="A51" s="33">
        <v>4</v>
      </c>
      <c r="B51" s="162" t="s">
        <v>221</v>
      </c>
      <c r="C51" s="162"/>
      <c r="D51" s="162"/>
      <c r="E51" s="30">
        <v>1</v>
      </c>
      <c r="F51" s="100" t="s">
        <v>22</v>
      </c>
      <c r="G51" s="32">
        <v>761.97</v>
      </c>
      <c r="H51" s="19">
        <f>G51*E51</f>
        <v>761.97</v>
      </c>
      <c r="I51" s="57">
        <v>0.27</v>
      </c>
      <c r="J51" s="19">
        <f t="shared" si="4"/>
        <v>967.70190000000002</v>
      </c>
      <c r="K51" s="50" t="s">
        <v>187</v>
      </c>
    </row>
    <row r="52" spans="1:15">
      <c r="A52" s="33">
        <v>5</v>
      </c>
      <c r="B52" s="162" t="s">
        <v>153</v>
      </c>
      <c r="C52" s="162"/>
      <c r="D52" s="162"/>
      <c r="E52" s="30">
        <v>6</v>
      </c>
      <c r="F52" s="100" t="s">
        <v>22</v>
      </c>
      <c r="G52" s="32">
        <v>786.75</v>
      </c>
      <c r="H52" s="19">
        <f t="shared" si="3"/>
        <v>4720.5</v>
      </c>
      <c r="I52" s="57">
        <v>0.27</v>
      </c>
      <c r="J52" s="19">
        <f t="shared" si="4"/>
        <v>5995.0349999999999</v>
      </c>
      <c r="K52" s="50" t="s">
        <v>152</v>
      </c>
    </row>
    <row r="53" spans="1:15">
      <c r="A53" s="33">
        <v>6</v>
      </c>
      <c r="B53" s="162" t="s">
        <v>273</v>
      </c>
      <c r="C53" s="162"/>
      <c r="D53" s="162"/>
      <c r="E53" s="30">
        <v>1</v>
      </c>
      <c r="F53" s="100" t="s">
        <v>22</v>
      </c>
      <c r="G53" s="32">
        <v>974.63</v>
      </c>
      <c r="H53" s="19">
        <f t="shared" si="3"/>
        <v>974.63</v>
      </c>
      <c r="I53" s="57">
        <v>0.27</v>
      </c>
      <c r="J53" s="19">
        <f t="shared" si="4"/>
        <v>1237.7800999999999</v>
      </c>
      <c r="K53" s="50" t="s">
        <v>154</v>
      </c>
    </row>
    <row r="54" spans="1:15" s="153" customFormat="1">
      <c r="A54" s="152">
        <v>7</v>
      </c>
      <c r="B54" s="216" t="s">
        <v>340</v>
      </c>
      <c r="C54" s="162"/>
      <c r="D54" s="162"/>
      <c r="E54" s="30">
        <v>0.6</v>
      </c>
      <c r="F54" s="100" t="s">
        <v>10</v>
      </c>
      <c r="G54" s="32">
        <v>971.38</v>
      </c>
      <c r="H54" s="19">
        <f t="shared" ref="H54" si="5">G54*E54</f>
        <v>582.82799999999997</v>
      </c>
      <c r="I54" s="57">
        <v>0.27</v>
      </c>
      <c r="J54" s="19">
        <f t="shared" ref="J54" si="6">(H54*0.27)+H54</f>
        <v>740.19155999999998</v>
      </c>
      <c r="K54" s="50" t="s">
        <v>312</v>
      </c>
      <c r="L54" s="23"/>
      <c r="M54" s="23"/>
      <c r="N54" s="23"/>
      <c r="O54" s="23"/>
    </row>
    <row r="55" spans="1:15">
      <c r="A55" s="33">
        <v>7</v>
      </c>
      <c r="B55" s="162" t="s">
        <v>113</v>
      </c>
      <c r="C55" s="162"/>
      <c r="D55" s="162"/>
      <c r="E55" s="30">
        <v>8</v>
      </c>
      <c r="F55" s="100" t="s">
        <v>22</v>
      </c>
      <c r="G55" s="32">
        <v>55.03</v>
      </c>
      <c r="H55" s="19">
        <f t="shared" si="3"/>
        <v>440.24</v>
      </c>
      <c r="I55" s="57">
        <v>0.27</v>
      </c>
      <c r="J55" s="19">
        <f t="shared" si="4"/>
        <v>559.10480000000007</v>
      </c>
      <c r="K55" s="50" t="s">
        <v>283</v>
      </c>
    </row>
    <row r="56" spans="1:15" s="13" customFormat="1">
      <c r="A56" s="33">
        <v>8</v>
      </c>
      <c r="B56" s="162" t="s">
        <v>188</v>
      </c>
      <c r="C56" s="162"/>
      <c r="D56" s="162"/>
      <c r="E56" s="30">
        <v>9.74</v>
      </c>
      <c r="F56" s="100" t="s">
        <v>10</v>
      </c>
      <c r="G56" s="32">
        <v>664.17</v>
      </c>
      <c r="H56" s="32">
        <f>G56*E56</f>
        <v>6469.0158000000001</v>
      </c>
      <c r="I56" s="57">
        <v>0.27</v>
      </c>
      <c r="J56" s="19">
        <f t="shared" si="4"/>
        <v>8215.6500660000002</v>
      </c>
      <c r="K56" s="101" t="s">
        <v>155</v>
      </c>
      <c r="L56" s="117"/>
      <c r="M56" s="117"/>
      <c r="N56" s="117"/>
      <c r="O56" s="117"/>
    </row>
    <row r="57" spans="1:15">
      <c r="A57" s="33"/>
      <c r="B57" s="171" t="s">
        <v>27</v>
      </c>
      <c r="C57" s="171"/>
      <c r="D57" s="171"/>
      <c r="E57" s="30"/>
      <c r="F57" s="100"/>
      <c r="G57" s="32"/>
      <c r="H57" s="34">
        <f>SUM(H48:H56)</f>
        <v>19169.772999999997</v>
      </c>
      <c r="I57" s="57"/>
      <c r="J57" s="58">
        <f>SUM(J48:J56)</f>
        <v>24345.611709999997</v>
      </c>
      <c r="K57" s="37"/>
    </row>
    <row r="58" spans="1:15" s="35" customFormat="1" ht="12.75">
      <c r="A58" s="165" t="s">
        <v>228</v>
      </c>
      <c r="B58" s="162"/>
      <c r="C58" s="162"/>
      <c r="D58" s="162"/>
      <c r="E58" s="100"/>
      <c r="F58" s="100"/>
      <c r="G58" s="98"/>
      <c r="H58" s="34"/>
      <c r="I58" s="57"/>
      <c r="J58" s="19"/>
      <c r="K58" s="24"/>
      <c r="L58" s="23"/>
      <c r="M58" s="24"/>
      <c r="N58" s="24"/>
      <c r="O58" s="24"/>
    </row>
    <row r="59" spans="1:15" s="35" customFormat="1" ht="12.75">
      <c r="A59" s="51">
        <v>1</v>
      </c>
      <c r="B59" s="163" t="s">
        <v>174</v>
      </c>
      <c r="C59" s="163"/>
      <c r="D59" s="163"/>
      <c r="E59" s="123">
        <v>184</v>
      </c>
      <c r="F59" s="124" t="s">
        <v>10</v>
      </c>
      <c r="G59" s="141">
        <v>11.57</v>
      </c>
      <c r="H59" s="19">
        <f t="shared" ref="H59:H64" si="7">G59*E59</f>
        <v>2128.88</v>
      </c>
      <c r="I59" s="57">
        <v>0.27</v>
      </c>
      <c r="J59" s="19">
        <f t="shared" ref="J59:J64" si="8">(H59*0.27)+H59</f>
        <v>2703.6776</v>
      </c>
      <c r="K59" s="33" t="s">
        <v>158</v>
      </c>
      <c r="L59" s="36"/>
      <c r="M59" s="24"/>
      <c r="N59" s="24"/>
      <c r="O59" s="24"/>
    </row>
    <row r="60" spans="1:15" s="35" customFormat="1" ht="12.75">
      <c r="A60" s="51">
        <v>2</v>
      </c>
      <c r="B60" s="163" t="s">
        <v>171</v>
      </c>
      <c r="C60" s="163"/>
      <c r="D60" s="163"/>
      <c r="E60" s="123">
        <v>68.16</v>
      </c>
      <c r="F60" s="124" t="s">
        <v>10</v>
      </c>
      <c r="G60" s="141">
        <v>13.73</v>
      </c>
      <c r="H60" s="19">
        <f t="shared" si="7"/>
        <v>935.83679999999993</v>
      </c>
      <c r="I60" s="57">
        <v>0.27</v>
      </c>
      <c r="J60" s="19">
        <f t="shared" si="8"/>
        <v>1188.5127359999999</v>
      </c>
      <c r="K60" s="33" t="s">
        <v>172</v>
      </c>
      <c r="L60" s="36"/>
      <c r="M60" s="24"/>
      <c r="N60" s="24"/>
      <c r="O60" s="24"/>
    </row>
    <row r="61" spans="1:15" s="35" customFormat="1" ht="15" customHeight="1">
      <c r="A61" s="51">
        <v>3</v>
      </c>
      <c r="B61" s="162" t="s">
        <v>168</v>
      </c>
      <c r="C61" s="162"/>
      <c r="D61" s="162"/>
      <c r="E61" s="123">
        <v>68.16</v>
      </c>
      <c r="F61" s="124" t="s">
        <v>10</v>
      </c>
      <c r="G61" s="141">
        <v>4.4400000000000004</v>
      </c>
      <c r="H61" s="10">
        <f t="shared" si="7"/>
        <v>302.63040000000001</v>
      </c>
      <c r="I61" s="57">
        <v>0.27</v>
      </c>
      <c r="J61" s="19">
        <f t="shared" si="8"/>
        <v>384.34060800000003</v>
      </c>
      <c r="K61" s="33" t="s">
        <v>167</v>
      </c>
      <c r="L61" s="114"/>
      <c r="M61" s="24"/>
      <c r="N61" s="24"/>
      <c r="O61" s="24"/>
    </row>
    <row r="62" spans="1:15" s="35" customFormat="1" ht="15" customHeight="1">
      <c r="A62" s="51">
        <v>4</v>
      </c>
      <c r="B62" s="162" t="s">
        <v>169</v>
      </c>
      <c r="C62" s="162"/>
      <c r="D62" s="162"/>
      <c r="E62" s="123">
        <v>184</v>
      </c>
      <c r="F62" s="124" t="s">
        <v>10</v>
      </c>
      <c r="G62" s="141">
        <v>3.56</v>
      </c>
      <c r="H62" s="10">
        <f t="shared" si="7"/>
        <v>655.04</v>
      </c>
      <c r="I62" s="57">
        <v>0.27</v>
      </c>
      <c r="J62" s="19">
        <f t="shared" si="8"/>
        <v>831.9008</v>
      </c>
      <c r="K62" s="33" t="s">
        <v>166</v>
      </c>
      <c r="L62" s="114"/>
      <c r="M62" s="24"/>
      <c r="N62" s="24"/>
      <c r="O62" s="24"/>
    </row>
    <row r="63" spans="1:15" s="35" customFormat="1" ht="15" customHeight="1">
      <c r="A63" s="51">
        <v>5</v>
      </c>
      <c r="B63" s="162" t="s">
        <v>170</v>
      </c>
      <c r="C63" s="162"/>
      <c r="D63" s="162"/>
      <c r="E63" s="123">
        <v>230</v>
      </c>
      <c r="F63" s="124" t="s">
        <v>10</v>
      </c>
      <c r="G63" s="141">
        <v>3.01</v>
      </c>
      <c r="H63" s="10">
        <f t="shared" si="7"/>
        <v>692.3</v>
      </c>
      <c r="I63" s="57">
        <v>0.27</v>
      </c>
      <c r="J63" s="19">
        <f t="shared" si="8"/>
        <v>879.221</v>
      </c>
      <c r="K63" s="33" t="s">
        <v>126</v>
      </c>
      <c r="L63" s="114"/>
      <c r="M63" s="24"/>
      <c r="N63" s="24"/>
      <c r="O63" s="24"/>
    </row>
    <row r="64" spans="1:15" s="35" customFormat="1" ht="15" customHeight="1">
      <c r="A64" s="51">
        <v>6</v>
      </c>
      <c r="B64" s="162" t="s">
        <v>173</v>
      </c>
      <c r="C64" s="162"/>
      <c r="D64" s="162"/>
      <c r="E64" s="123">
        <v>170</v>
      </c>
      <c r="F64" s="124" t="s">
        <v>10</v>
      </c>
      <c r="G64" s="141">
        <v>12.2</v>
      </c>
      <c r="H64" s="10">
        <f t="shared" si="7"/>
        <v>2074</v>
      </c>
      <c r="I64" s="57">
        <v>0.27</v>
      </c>
      <c r="J64" s="19">
        <f t="shared" si="8"/>
        <v>2633.98</v>
      </c>
      <c r="K64" s="33" t="s">
        <v>146</v>
      </c>
      <c r="L64" s="114"/>
      <c r="M64" s="24"/>
      <c r="N64" s="24"/>
      <c r="O64" s="24"/>
    </row>
    <row r="65" spans="1:15" s="35" customFormat="1" ht="12.75">
      <c r="A65" s="51">
        <v>2</v>
      </c>
      <c r="B65" s="163" t="s">
        <v>272</v>
      </c>
      <c r="C65" s="163"/>
      <c r="D65" s="163"/>
      <c r="E65" s="123">
        <v>60</v>
      </c>
      <c r="F65" s="124" t="s">
        <v>10</v>
      </c>
      <c r="G65" s="141">
        <v>11.57</v>
      </c>
      <c r="H65" s="19">
        <f t="shared" ref="H65" si="9">G65*E65</f>
        <v>694.2</v>
      </c>
      <c r="I65" s="57">
        <v>0.27</v>
      </c>
      <c r="J65" s="19">
        <f t="shared" ref="J65" si="10">(H65*0.27)+H65</f>
        <v>881.63400000000001</v>
      </c>
      <c r="K65" s="33" t="s">
        <v>158</v>
      </c>
      <c r="L65" s="36"/>
      <c r="M65" s="24"/>
      <c r="N65" s="24"/>
      <c r="O65" s="24"/>
    </row>
    <row r="66" spans="1:15" s="35" customFormat="1" ht="12.75">
      <c r="A66" s="33"/>
      <c r="B66" s="171" t="s">
        <v>21</v>
      </c>
      <c r="C66" s="171"/>
      <c r="D66" s="171"/>
      <c r="E66" s="100"/>
      <c r="F66" s="100"/>
      <c r="G66" s="98"/>
      <c r="H66" s="47">
        <f>SUM(H59:H65)</f>
        <v>7482.8872000000001</v>
      </c>
      <c r="I66" s="57"/>
      <c r="J66" s="58">
        <f>SUM(J59:J65)</f>
        <v>9503.2667440000005</v>
      </c>
      <c r="K66" s="39"/>
      <c r="L66" s="23"/>
      <c r="M66" s="24"/>
      <c r="N66" s="24"/>
      <c r="O66" s="24"/>
    </row>
    <row r="67" spans="1:15" s="35" customFormat="1" ht="12.75">
      <c r="A67" s="165" t="s">
        <v>229</v>
      </c>
      <c r="B67" s="165"/>
      <c r="C67" s="165"/>
      <c r="D67" s="165"/>
      <c r="E67" s="100"/>
      <c r="F67" s="100"/>
      <c r="G67" s="98"/>
      <c r="H67" s="47"/>
      <c r="I67" s="57"/>
      <c r="J67" s="19"/>
      <c r="K67" s="49"/>
      <c r="L67" s="23"/>
      <c r="M67" s="24"/>
      <c r="N67" s="24"/>
      <c r="O67" s="24"/>
    </row>
    <row r="68" spans="1:15" s="35" customFormat="1" ht="12.75">
      <c r="A68" s="81">
        <v>1</v>
      </c>
      <c r="B68" s="162" t="s">
        <v>77</v>
      </c>
      <c r="C68" s="162"/>
      <c r="D68" s="162"/>
      <c r="E68" s="123">
        <v>1</v>
      </c>
      <c r="F68" s="98" t="s">
        <v>22</v>
      </c>
      <c r="G68" s="141">
        <v>90.23</v>
      </c>
      <c r="H68" s="19">
        <f>G68*E68</f>
        <v>90.23</v>
      </c>
      <c r="I68" s="57">
        <v>0.27</v>
      </c>
      <c r="J68" s="19">
        <f>(H68*0.27)+H68</f>
        <v>114.5921</v>
      </c>
      <c r="K68" s="52" t="s">
        <v>175</v>
      </c>
      <c r="L68" s="23"/>
      <c r="M68" s="24"/>
      <c r="N68" s="24"/>
      <c r="O68" s="24"/>
    </row>
    <row r="69" spans="1:15" s="35" customFormat="1" ht="12.75">
      <c r="A69" s="81">
        <v>2</v>
      </c>
      <c r="B69" s="162" t="s">
        <v>87</v>
      </c>
      <c r="C69" s="162"/>
      <c r="D69" s="162"/>
      <c r="E69" s="123">
        <v>6</v>
      </c>
      <c r="F69" s="98" t="s">
        <v>22</v>
      </c>
      <c r="G69" s="141">
        <v>144.1</v>
      </c>
      <c r="H69" s="19">
        <f>G69*E69</f>
        <v>864.59999999999991</v>
      </c>
      <c r="I69" s="57">
        <v>0.27</v>
      </c>
      <c r="J69" s="19">
        <f t="shared" ref="J69:J71" si="11">(H69*0.27)+H69</f>
        <v>1098.0419999999999</v>
      </c>
      <c r="K69" s="52" t="s">
        <v>86</v>
      </c>
      <c r="L69" s="23"/>
      <c r="M69" s="24"/>
      <c r="N69" s="24"/>
      <c r="O69" s="24"/>
    </row>
    <row r="70" spans="1:15" s="35" customFormat="1" ht="12" customHeight="1">
      <c r="A70" s="81">
        <v>3</v>
      </c>
      <c r="B70" s="162" t="s">
        <v>90</v>
      </c>
      <c r="C70" s="162"/>
      <c r="D70" s="162"/>
      <c r="E70" s="123">
        <v>1</v>
      </c>
      <c r="F70" s="124" t="s">
        <v>22</v>
      </c>
      <c r="G70" s="141">
        <v>85.43</v>
      </c>
      <c r="H70" s="19">
        <f>G70*E70</f>
        <v>85.43</v>
      </c>
      <c r="I70" s="57">
        <v>0.27</v>
      </c>
      <c r="J70" s="19">
        <f t="shared" si="11"/>
        <v>108.49610000000001</v>
      </c>
      <c r="K70" s="52" t="s">
        <v>176</v>
      </c>
      <c r="L70" s="23"/>
      <c r="M70" s="24"/>
      <c r="N70" s="24"/>
      <c r="O70" s="24"/>
    </row>
    <row r="71" spans="1:15" s="35" customFormat="1" ht="12" customHeight="1">
      <c r="A71" s="81">
        <v>4</v>
      </c>
      <c r="B71" s="162" t="s">
        <v>89</v>
      </c>
      <c r="C71" s="162"/>
      <c r="D71" s="162"/>
      <c r="E71" s="123">
        <v>3</v>
      </c>
      <c r="F71" s="124" t="s">
        <v>22</v>
      </c>
      <c r="G71" s="141">
        <v>58.53</v>
      </c>
      <c r="H71" s="19">
        <f>G71*E71</f>
        <v>175.59</v>
      </c>
      <c r="I71" s="57">
        <v>0.27</v>
      </c>
      <c r="J71" s="19">
        <f t="shared" si="11"/>
        <v>222.99930000000001</v>
      </c>
      <c r="K71" s="52" t="s">
        <v>88</v>
      </c>
      <c r="L71" s="23"/>
      <c r="M71" s="24"/>
      <c r="N71" s="24"/>
      <c r="O71" s="24"/>
    </row>
    <row r="72" spans="1:15" s="35" customFormat="1" ht="12.75">
      <c r="A72" s="33"/>
      <c r="B72" s="171" t="s">
        <v>54</v>
      </c>
      <c r="C72" s="171"/>
      <c r="D72" s="171"/>
      <c r="E72" s="100"/>
      <c r="F72" s="100"/>
      <c r="G72" s="77"/>
      <c r="H72" s="58">
        <f>SUM(H68:H71)</f>
        <v>1215.8499999999999</v>
      </c>
      <c r="I72" s="57"/>
      <c r="J72" s="58">
        <f>SUM(J68:J71)</f>
        <v>1544.1295</v>
      </c>
      <c r="K72" s="49"/>
      <c r="L72" s="23"/>
      <c r="M72" s="24"/>
      <c r="N72" s="24"/>
      <c r="O72" s="24"/>
    </row>
    <row r="73" spans="1:15" s="35" customFormat="1" ht="12.75">
      <c r="A73" s="165" t="s">
        <v>230</v>
      </c>
      <c r="B73" s="165"/>
      <c r="C73" s="165"/>
      <c r="D73" s="165"/>
      <c r="E73" s="98"/>
      <c r="F73" s="98"/>
      <c r="G73" s="98"/>
      <c r="L73" s="23"/>
      <c r="M73" s="24"/>
      <c r="N73" s="24"/>
      <c r="O73" s="24"/>
    </row>
    <row r="74" spans="1:15" s="35" customFormat="1">
      <c r="A74" s="81">
        <v>1</v>
      </c>
      <c r="B74" s="162" t="s">
        <v>91</v>
      </c>
      <c r="C74" s="162"/>
      <c r="D74" s="162"/>
      <c r="E74" s="30">
        <v>2</v>
      </c>
      <c r="F74" s="124" t="s">
        <v>22</v>
      </c>
      <c r="G74" s="119">
        <v>92.62</v>
      </c>
      <c r="H74" s="19">
        <f>G74*E74</f>
        <v>185.24</v>
      </c>
      <c r="I74" s="142">
        <v>0</v>
      </c>
      <c r="J74" s="151">
        <f>H74</f>
        <v>185.24</v>
      </c>
      <c r="K74" s="118" t="s">
        <v>92</v>
      </c>
      <c r="L74" s="23"/>
      <c r="M74" s="24"/>
      <c r="N74" s="24"/>
      <c r="O74" s="24"/>
    </row>
    <row r="75" spans="1:15" s="35" customFormat="1">
      <c r="A75" s="81">
        <v>2</v>
      </c>
      <c r="B75" s="162" t="s">
        <v>258</v>
      </c>
      <c r="C75" s="162"/>
      <c r="D75" s="162"/>
      <c r="E75" s="30">
        <v>4</v>
      </c>
      <c r="F75" s="124" t="s">
        <v>22</v>
      </c>
      <c r="G75" s="119">
        <v>70.900000000000006</v>
      </c>
      <c r="H75" s="19">
        <f>G75*E75</f>
        <v>283.60000000000002</v>
      </c>
      <c r="I75" s="142">
        <v>0</v>
      </c>
      <c r="J75" s="151">
        <f>H75</f>
        <v>283.60000000000002</v>
      </c>
      <c r="K75" s="118" t="s">
        <v>259</v>
      </c>
      <c r="L75" s="23"/>
      <c r="M75" s="24"/>
      <c r="N75" s="24"/>
      <c r="O75" s="24"/>
    </row>
    <row r="76" spans="1:15" s="35" customFormat="1" ht="12.75">
      <c r="A76" s="81">
        <v>3</v>
      </c>
      <c r="B76" s="162" t="s">
        <v>236</v>
      </c>
      <c r="C76" s="162"/>
      <c r="D76" s="162"/>
      <c r="E76" s="30">
        <v>2</v>
      </c>
      <c r="F76" s="124" t="s">
        <v>22</v>
      </c>
      <c r="G76" s="119">
        <v>11.55</v>
      </c>
      <c r="H76" s="19">
        <f>G76*E76</f>
        <v>23.1</v>
      </c>
      <c r="I76" s="142">
        <v>0.27</v>
      </c>
      <c r="J76" s="19">
        <f t="shared" ref="J76:J78" si="12">H76*0.27+H76</f>
        <v>29.337000000000003</v>
      </c>
      <c r="K76" s="118" t="s">
        <v>260</v>
      </c>
      <c r="L76" s="23"/>
      <c r="M76" s="24"/>
      <c r="N76" s="24"/>
      <c r="O76" s="24"/>
    </row>
    <row r="77" spans="1:15" s="13" customFormat="1">
      <c r="A77" s="81">
        <v>4</v>
      </c>
      <c r="B77" s="162" t="s">
        <v>127</v>
      </c>
      <c r="C77" s="162"/>
      <c r="D77" s="162"/>
      <c r="E77" s="30">
        <v>40</v>
      </c>
      <c r="F77" s="100" t="s">
        <v>48</v>
      </c>
      <c r="G77" s="32">
        <v>27.97</v>
      </c>
      <c r="H77" s="10">
        <f>G77*E77</f>
        <v>1118.8</v>
      </c>
      <c r="I77" s="142">
        <v>0.27</v>
      </c>
      <c r="J77" s="19">
        <f t="shared" si="12"/>
        <v>1420.876</v>
      </c>
      <c r="K77" s="115" t="s">
        <v>128</v>
      </c>
      <c r="L77" s="25"/>
      <c r="M77" s="116"/>
    </row>
    <row r="78" spans="1:15" s="13" customFormat="1">
      <c r="A78" s="81">
        <v>5</v>
      </c>
      <c r="B78" s="162" t="s">
        <v>129</v>
      </c>
      <c r="C78" s="162"/>
      <c r="D78" s="162"/>
      <c r="E78" s="30">
        <v>25</v>
      </c>
      <c r="F78" s="100" t="s">
        <v>48</v>
      </c>
      <c r="G78" s="32">
        <v>13.97</v>
      </c>
      <c r="H78" s="32">
        <f>G78*E78</f>
        <v>349.25</v>
      </c>
      <c r="I78" s="142">
        <v>0.27</v>
      </c>
      <c r="J78" s="19">
        <f t="shared" si="12"/>
        <v>443.54750000000001</v>
      </c>
      <c r="K78" s="115" t="s">
        <v>130</v>
      </c>
      <c r="L78" s="117"/>
      <c r="M78" s="48"/>
    </row>
    <row r="79" spans="1:15" s="35" customFormat="1" ht="12.75">
      <c r="A79" s="33"/>
      <c r="B79" s="171" t="s">
        <v>55</v>
      </c>
      <c r="C79" s="171"/>
      <c r="D79" s="171"/>
      <c r="E79" s="100"/>
      <c r="F79" s="100"/>
      <c r="G79" s="77"/>
      <c r="H79" s="58">
        <f>SUM(H74:H78)</f>
        <v>1959.99</v>
      </c>
      <c r="I79" s="142"/>
      <c r="J79" s="58">
        <f>SUM(J74:J78)</f>
        <v>2362.6005</v>
      </c>
      <c r="K79" s="49"/>
      <c r="L79" s="25"/>
      <c r="M79" s="24"/>
      <c r="N79" s="24"/>
      <c r="O79" s="24"/>
    </row>
    <row r="80" spans="1:15" s="35" customFormat="1" ht="12.75">
      <c r="A80" s="165" t="s">
        <v>231</v>
      </c>
      <c r="B80" s="165"/>
      <c r="C80" s="165"/>
      <c r="D80" s="165"/>
      <c r="E80" s="100"/>
      <c r="F80" s="100"/>
      <c r="G80" s="77"/>
      <c r="H80" s="19"/>
      <c r="I80" s="57"/>
      <c r="J80" s="19"/>
      <c r="K80" s="49"/>
      <c r="L80" s="25"/>
      <c r="M80" s="24"/>
      <c r="N80" s="24"/>
      <c r="O80" s="24"/>
    </row>
    <row r="81" spans="1:15" s="82" customFormat="1" ht="12.75">
      <c r="A81" s="168">
        <v>1</v>
      </c>
      <c r="B81" s="162" t="s">
        <v>81</v>
      </c>
      <c r="C81" s="162"/>
      <c r="D81" s="162"/>
      <c r="E81" s="175">
        <v>1</v>
      </c>
      <c r="F81" s="186" t="s">
        <v>22</v>
      </c>
      <c r="G81" s="172">
        <v>431.02</v>
      </c>
      <c r="H81" s="187">
        <f>G81*E81</f>
        <v>431.02</v>
      </c>
      <c r="I81" s="188">
        <v>0.27</v>
      </c>
      <c r="J81" s="187">
        <f>(H81*0.27)+H81</f>
        <v>547.3954</v>
      </c>
      <c r="K81" s="169" t="s">
        <v>83</v>
      </c>
      <c r="L81" s="49"/>
    </row>
    <row r="82" spans="1:15" s="82" customFormat="1" ht="12.75">
      <c r="A82" s="168"/>
      <c r="B82" s="162" t="s">
        <v>82</v>
      </c>
      <c r="C82" s="162"/>
      <c r="D82" s="162"/>
      <c r="E82" s="175"/>
      <c r="F82" s="186"/>
      <c r="G82" s="172"/>
      <c r="H82" s="187"/>
      <c r="I82" s="188"/>
      <c r="J82" s="187"/>
      <c r="K82" s="169"/>
      <c r="L82" s="49"/>
    </row>
    <row r="83" spans="1:15" s="82" customFormat="1" ht="12.75">
      <c r="A83" s="168">
        <v>2</v>
      </c>
      <c r="B83" s="162" t="s">
        <v>114</v>
      </c>
      <c r="C83" s="162"/>
      <c r="D83" s="162"/>
      <c r="E83" s="175">
        <v>1</v>
      </c>
      <c r="F83" s="191" t="s">
        <v>22</v>
      </c>
      <c r="G83" s="172">
        <v>661.48</v>
      </c>
      <c r="H83" s="187">
        <f>G83*E83</f>
        <v>661.48</v>
      </c>
      <c r="I83" s="188">
        <v>0.27</v>
      </c>
      <c r="J83" s="187">
        <f>(H83*0.27)+H83</f>
        <v>840.07960000000003</v>
      </c>
      <c r="K83" s="169" t="s">
        <v>131</v>
      </c>
      <c r="L83" s="49"/>
    </row>
    <row r="84" spans="1:15" s="82" customFormat="1" ht="12.75">
      <c r="A84" s="168"/>
      <c r="B84" s="162" t="s">
        <v>115</v>
      </c>
      <c r="C84" s="162"/>
      <c r="D84" s="162"/>
      <c r="E84" s="175"/>
      <c r="F84" s="191"/>
      <c r="G84" s="172"/>
      <c r="H84" s="187"/>
      <c r="I84" s="188"/>
      <c r="J84" s="187"/>
      <c r="K84" s="169"/>
      <c r="L84" s="49"/>
    </row>
    <row r="85" spans="1:15" s="82" customFormat="1" ht="18.75" customHeight="1">
      <c r="A85" s="51">
        <v>3</v>
      </c>
      <c r="B85" s="161" t="s">
        <v>239</v>
      </c>
      <c r="C85" s="161"/>
      <c r="D85" s="161"/>
      <c r="E85" s="30">
        <v>1</v>
      </c>
      <c r="F85" s="80" t="s">
        <v>22</v>
      </c>
      <c r="G85" s="119">
        <v>378.64</v>
      </c>
      <c r="H85" s="10">
        <f t="shared" ref="H85:H86" si="13">G85*E85</f>
        <v>378.64</v>
      </c>
      <c r="I85" s="113">
        <v>0.27</v>
      </c>
      <c r="J85" s="10">
        <f t="shared" ref="J85" si="14">H85*0.27+H85</f>
        <v>480.87279999999998</v>
      </c>
      <c r="K85" s="118" t="s">
        <v>240</v>
      </c>
      <c r="L85" s="83"/>
      <c r="M85" s="140"/>
    </row>
    <row r="86" spans="1:15" ht="23.25" customHeight="1">
      <c r="A86" s="139">
        <v>4</v>
      </c>
      <c r="B86" s="160" t="s">
        <v>238</v>
      </c>
      <c r="C86" s="160"/>
      <c r="D86" s="160"/>
      <c r="E86" s="30">
        <v>1</v>
      </c>
      <c r="F86" s="100" t="s">
        <v>10</v>
      </c>
      <c r="G86" s="32">
        <v>633.96</v>
      </c>
      <c r="H86" s="10">
        <f t="shared" si="13"/>
        <v>633.96</v>
      </c>
      <c r="I86" s="113">
        <v>0.27</v>
      </c>
      <c r="J86" s="10">
        <f t="shared" ref="J86" si="15">(H86*0.27)+H86</f>
        <v>805.12920000000008</v>
      </c>
      <c r="K86" s="104" t="s">
        <v>284</v>
      </c>
    </row>
    <row r="87" spans="1:15" s="82" customFormat="1" ht="12.75">
      <c r="A87" s="33">
        <v>5</v>
      </c>
      <c r="B87" s="163" t="s">
        <v>261</v>
      </c>
      <c r="C87" s="163"/>
      <c r="D87" s="163"/>
      <c r="E87" s="30">
        <v>1</v>
      </c>
      <c r="F87" s="80" t="s">
        <v>22</v>
      </c>
      <c r="G87" s="119">
        <v>242.85</v>
      </c>
      <c r="H87" s="10">
        <f>G87*E87</f>
        <v>242.85</v>
      </c>
      <c r="I87" s="142">
        <v>0.27</v>
      </c>
      <c r="J87" s="10">
        <f>H87*0.27+H87</f>
        <v>308.41949999999997</v>
      </c>
      <c r="K87" s="118" t="s">
        <v>244</v>
      </c>
      <c r="L87" s="49"/>
    </row>
    <row r="88" spans="1:15" s="82" customFormat="1" ht="12.75">
      <c r="A88" s="33">
        <v>6</v>
      </c>
      <c r="B88" s="162" t="s">
        <v>262</v>
      </c>
      <c r="C88" s="162"/>
      <c r="D88" s="162"/>
      <c r="E88" s="30">
        <v>1</v>
      </c>
      <c r="F88" s="80" t="s">
        <v>22</v>
      </c>
      <c r="G88" s="119">
        <v>241.41</v>
      </c>
      <c r="H88" s="10">
        <f t="shared" ref="H88:H96" si="16">G88*E88</f>
        <v>241.41</v>
      </c>
      <c r="I88" s="142">
        <v>0</v>
      </c>
      <c r="J88" s="10">
        <f>H88</f>
        <v>241.41</v>
      </c>
      <c r="K88" s="118" t="s">
        <v>285</v>
      </c>
      <c r="L88" s="49"/>
    </row>
    <row r="89" spans="1:15" s="82" customFormat="1" ht="12.75">
      <c r="A89" s="33">
        <v>7</v>
      </c>
      <c r="B89" s="162" t="s">
        <v>263</v>
      </c>
      <c r="C89" s="162"/>
      <c r="D89" s="162"/>
      <c r="E89" s="30">
        <v>2</v>
      </c>
      <c r="F89" s="80" t="s">
        <v>22</v>
      </c>
      <c r="G89" s="119">
        <v>51.25</v>
      </c>
      <c r="H89" s="10">
        <f t="shared" si="16"/>
        <v>102.5</v>
      </c>
      <c r="I89" s="142">
        <v>0.27</v>
      </c>
      <c r="J89" s="10">
        <f t="shared" ref="J89:J97" si="17">H89*0.27+H89</f>
        <v>130.17500000000001</v>
      </c>
      <c r="K89" s="118" t="s">
        <v>132</v>
      </c>
      <c r="L89" s="49"/>
    </row>
    <row r="90" spans="1:15" s="82" customFormat="1" ht="12.75">
      <c r="A90" s="33">
        <v>8</v>
      </c>
      <c r="B90" s="162" t="s">
        <v>116</v>
      </c>
      <c r="C90" s="162"/>
      <c r="D90" s="162"/>
      <c r="E90" s="30">
        <v>2</v>
      </c>
      <c r="F90" s="80" t="s">
        <v>22</v>
      </c>
      <c r="G90" s="119">
        <v>60.17</v>
      </c>
      <c r="H90" s="10">
        <f>G90*E90</f>
        <v>120.34</v>
      </c>
      <c r="I90" s="142">
        <v>0.27</v>
      </c>
      <c r="J90" s="10">
        <f t="shared" si="17"/>
        <v>152.83180000000002</v>
      </c>
      <c r="K90" s="118" t="s">
        <v>117</v>
      </c>
      <c r="L90" s="49"/>
    </row>
    <row r="91" spans="1:15" s="82" customFormat="1" ht="18" customHeight="1">
      <c r="A91" s="51">
        <v>9</v>
      </c>
      <c r="B91" s="160" t="s">
        <v>241</v>
      </c>
      <c r="C91" s="160"/>
      <c r="D91" s="160"/>
      <c r="E91" s="30">
        <v>2</v>
      </c>
      <c r="F91" s="80" t="s">
        <v>22</v>
      </c>
      <c r="G91" s="119">
        <v>60.4</v>
      </c>
      <c r="H91" s="10">
        <f>G91*E91</f>
        <v>120.8</v>
      </c>
      <c r="I91" s="113">
        <v>0</v>
      </c>
      <c r="J91" s="10">
        <f>H91</f>
        <v>120.8</v>
      </c>
      <c r="K91" s="118" t="s">
        <v>286</v>
      </c>
      <c r="L91" s="83"/>
      <c r="M91" s="140"/>
    </row>
    <row r="92" spans="1:15" s="82" customFormat="1" ht="12.75">
      <c r="A92" s="33">
        <v>10</v>
      </c>
      <c r="B92" s="162" t="s">
        <v>242</v>
      </c>
      <c r="C92" s="162"/>
      <c r="D92" s="162"/>
      <c r="E92" s="30">
        <v>0.72</v>
      </c>
      <c r="F92" s="80" t="s">
        <v>10</v>
      </c>
      <c r="G92" s="119">
        <v>496.88</v>
      </c>
      <c r="H92" s="10">
        <f t="shared" si="16"/>
        <v>357.75360000000001</v>
      </c>
      <c r="I92" s="142">
        <v>0.27</v>
      </c>
      <c r="J92" s="10">
        <f t="shared" si="17"/>
        <v>454.34707200000003</v>
      </c>
      <c r="K92" s="118" t="s">
        <v>243</v>
      </c>
      <c r="L92" s="49"/>
    </row>
    <row r="93" spans="1:15">
      <c r="A93" s="81">
        <v>11</v>
      </c>
      <c r="B93" s="163" t="s">
        <v>246</v>
      </c>
      <c r="C93" s="163"/>
      <c r="D93" s="163"/>
      <c r="E93" s="30">
        <v>2</v>
      </c>
      <c r="F93" s="100" t="s">
        <v>22</v>
      </c>
      <c r="G93" s="32">
        <v>339.12</v>
      </c>
      <c r="H93" s="10">
        <f t="shared" si="16"/>
        <v>678.24</v>
      </c>
      <c r="I93" s="142">
        <v>0.27</v>
      </c>
      <c r="J93" s="10">
        <f t="shared" si="17"/>
        <v>861.36480000000006</v>
      </c>
      <c r="K93" s="104" t="s">
        <v>245</v>
      </c>
      <c r="L93" s="104"/>
      <c r="M93"/>
      <c r="N93"/>
      <c r="O93"/>
    </row>
    <row r="94" spans="1:15">
      <c r="A94" s="81">
        <v>12</v>
      </c>
      <c r="B94" s="163" t="s">
        <v>247</v>
      </c>
      <c r="C94" s="163"/>
      <c r="D94" s="163"/>
      <c r="E94" s="30">
        <v>1</v>
      </c>
      <c r="F94" s="100" t="s">
        <v>248</v>
      </c>
      <c r="G94" s="32">
        <v>630</v>
      </c>
      <c r="H94" s="10">
        <f t="shared" ref="H94" si="18">G94*E94</f>
        <v>630</v>
      </c>
      <c r="I94" s="142">
        <v>0.27</v>
      </c>
      <c r="J94" s="10">
        <f t="shared" ref="J94" si="19">H94*0.27+H94</f>
        <v>800.1</v>
      </c>
      <c r="K94" s="104" t="s">
        <v>342</v>
      </c>
      <c r="L94" s="104"/>
      <c r="M94"/>
      <c r="N94"/>
      <c r="O94"/>
    </row>
    <row r="95" spans="1:15">
      <c r="A95" s="81">
        <v>13</v>
      </c>
      <c r="B95" s="162" t="s">
        <v>182</v>
      </c>
      <c r="C95" s="162"/>
      <c r="D95" s="162"/>
      <c r="E95" s="30">
        <v>2</v>
      </c>
      <c r="F95" s="100" t="s">
        <v>22</v>
      </c>
      <c r="G95" s="32">
        <v>345.24</v>
      </c>
      <c r="H95" s="10">
        <f t="shared" si="16"/>
        <v>690.48</v>
      </c>
      <c r="I95" s="142">
        <v>0.27</v>
      </c>
      <c r="J95" s="10">
        <f t="shared" si="17"/>
        <v>876.90960000000007</v>
      </c>
      <c r="K95" s="104" t="s">
        <v>181</v>
      </c>
      <c r="L95" s="104"/>
      <c r="M95"/>
      <c r="N95"/>
      <c r="O95"/>
    </row>
    <row r="96" spans="1:15">
      <c r="A96" s="81">
        <v>14</v>
      </c>
      <c r="B96" s="163" t="s">
        <v>84</v>
      </c>
      <c r="C96" s="163"/>
      <c r="D96" s="163"/>
      <c r="E96" s="30">
        <v>1</v>
      </c>
      <c r="F96" s="100" t="s">
        <v>22</v>
      </c>
      <c r="G96" s="32">
        <v>64.77</v>
      </c>
      <c r="H96" s="10">
        <f t="shared" si="16"/>
        <v>64.77</v>
      </c>
      <c r="I96" s="142">
        <v>0.27</v>
      </c>
      <c r="J96" s="10">
        <f t="shared" si="17"/>
        <v>82.257899999999992</v>
      </c>
      <c r="K96" s="104" t="s">
        <v>287</v>
      </c>
      <c r="L96" s="104"/>
      <c r="M96"/>
      <c r="N96"/>
      <c r="O96"/>
    </row>
    <row r="97" spans="1:15">
      <c r="A97" s="81">
        <v>15</v>
      </c>
      <c r="B97" s="163" t="s">
        <v>85</v>
      </c>
      <c r="C97" s="163"/>
      <c r="D97" s="163"/>
      <c r="E97" s="30">
        <v>1</v>
      </c>
      <c r="F97" s="100" t="s">
        <v>22</v>
      </c>
      <c r="G97" s="32">
        <v>64.27</v>
      </c>
      <c r="H97" s="10">
        <f>G97*E97</f>
        <v>64.27</v>
      </c>
      <c r="I97" s="142">
        <v>0.27</v>
      </c>
      <c r="J97" s="10">
        <f t="shared" si="17"/>
        <v>81.622900000000001</v>
      </c>
      <c r="K97" s="104" t="s">
        <v>287</v>
      </c>
      <c r="L97" s="104"/>
      <c r="M97"/>
      <c r="N97"/>
      <c r="O97"/>
    </row>
    <row r="98" spans="1:15" s="35" customFormat="1" ht="12.75">
      <c r="A98" s="33"/>
      <c r="B98" s="171" t="s">
        <v>56</v>
      </c>
      <c r="C98" s="171"/>
      <c r="D98" s="171"/>
      <c r="E98" s="100"/>
      <c r="F98" s="100"/>
      <c r="G98" s="98"/>
      <c r="H98" s="47">
        <f>SUM(H81:H97)</f>
        <v>5418.5136000000002</v>
      </c>
      <c r="I98" s="57"/>
      <c r="J98" s="58">
        <f>SUM(J81:J97)</f>
        <v>6783.7155720000001</v>
      </c>
      <c r="K98" s="39"/>
      <c r="L98" s="23"/>
      <c r="M98" s="24"/>
      <c r="N98" s="24"/>
      <c r="O98" s="24"/>
    </row>
    <row r="99" spans="1:15" s="35" customFormat="1" ht="12.75">
      <c r="A99" s="165" t="s">
        <v>232</v>
      </c>
      <c r="B99" s="165"/>
      <c r="C99" s="165"/>
      <c r="D99" s="165"/>
      <c r="E99" s="100"/>
      <c r="F99" s="100"/>
      <c r="G99" s="98"/>
      <c r="H99" s="32"/>
      <c r="I99" s="57"/>
      <c r="J99" s="19"/>
      <c r="K99" s="39"/>
      <c r="L99" s="23"/>
      <c r="M99" s="24"/>
      <c r="N99" s="24"/>
      <c r="O99" s="24"/>
    </row>
    <row r="100" spans="1:15" s="35" customFormat="1" ht="12.75">
      <c r="A100" s="81">
        <v>1</v>
      </c>
      <c r="B100" s="162" t="s">
        <v>58</v>
      </c>
      <c r="C100" s="162"/>
      <c r="D100" s="162"/>
      <c r="E100" s="30">
        <v>2</v>
      </c>
      <c r="F100" s="100" t="s">
        <v>22</v>
      </c>
      <c r="G100" s="120">
        <v>179.7</v>
      </c>
      <c r="H100" s="32">
        <f>(G100*E100)</f>
        <v>359.4</v>
      </c>
      <c r="I100" s="57">
        <v>0.27</v>
      </c>
      <c r="J100" s="19">
        <f>(H100*0.27)+H100</f>
        <v>456.43799999999999</v>
      </c>
      <c r="K100" s="84" t="s">
        <v>133</v>
      </c>
      <c r="L100" s="23"/>
      <c r="M100" s="24"/>
      <c r="N100" s="24"/>
      <c r="O100" s="24"/>
    </row>
    <row r="101" spans="1:15" s="35" customFormat="1" ht="12.75">
      <c r="A101" s="81">
        <v>2</v>
      </c>
      <c r="B101" s="162" t="s">
        <v>134</v>
      </c>
      <c r="C101" s="162"/>
      <c r="D101" s="162"/>
      <c r="E101" s="30">
        <v>4</v>
      </c>
      <c r="F101" s="100" t="s">
        <v>22</v>
      </c>
      <c r="G101" s="122">
        <v>27.18</v>
      </c>
      <c r="H101" s="32">
        <f>(G101*E101)</f>
        <v>108.72</v>
      </c>
      <c r="I101" s="57">
        <v>0.27</v>
      </c>
      <c r="J101" s="19">
        <f t="shared" ref="J101:J103" si="20">(H101*0.27)+H101</f>
        <v>138.0744</v>
      </c>
      <c r="K101" s="84" t="s">
        <v>288</v>
      </c>
      <c r="L101" s="23"/>
      <c r="M101" s="24"/>
      <c r="N101" s="24"/>
      <c r="O101" s="24"/>
    </row>
    <row r="102" spans="1:15" s="35" customFormat="1" ht="12.75">
      <c r="A102" s="81">
        <v>3</v>
      </c>
      <c r="B102" s="162" t="s">
        <v>67</v>
      </c>
      <c r="C102" s="162"/>
      <c r="D102" s="162"/>
      <c r="E102" s="30">
        <v>4</v>
      </c>
      <c r="F102" s="100" t="s">
        <v>22</v>
      </c>
      <c r="G102" s="120">
        <v>27.74</v>
      </c>
      <c r="H102" s="32">
        <f>(G102*E102)</f>
        <v>110.96</v>
      </c>
      <c r="I102" s="57">
        <v>0.27</v>
      </c>
      <c r="J102" s="19">
        <f t="shared" si="20"/>
        <v>140.91919999999999</v>
      </c>
      <c r="K102" s="84" t="s">
        <v>135</v>
      </c>
      <c r="L102" s="23"/>
      <c r="M102" s="24"/>
      <c r="N102" s="24"/>
      <c r="O102" s="24"/>
    </row>
    <row r="103" spans="1:15" s="35" customFormat="1" ht="12.75">
      <c r="A103" s="81">
        <v>4</v>
      </c>
      <c r="B103" s="162" t="s">
        <v>216</v>
      </c>
      <c r="C103" s="162"/>
      <c r="D103" s="162"/>
      <c r="E103" s="30">
        <v>1</v>
      </c>
      <c r="F103" s="100" t="s">
        <v>22</v>
      </c>
      <c r="G103" s="120">
        <v>800</v>
      </c>
      <c r="H103" s="32">
        <f>G103*E103</f>
        <v>800</v>
      </c>
      <c r="I103" s="57">
        <v>0.27</v>
      </c>
      <c r="J103" s="31">
        <f t="shared" si="20"/>
        <v>1016</v>
      </c>
      <c r="K103" s="84" t="s">
        <v>28</v>
      </c>
      <c r="L103" s="99"/>
      <c r="M103" s="39"/>
      <c r="N103" s="39"/>
      <c r="O103" s="39"/>
    </row>
    <row r="104" spans="1:15" s="35" customFormat="1" ht="12.75">
      <c r="A104" s="143"/>
      <c r="B104" s="171" t="s">
        <v>57</v>
      </c>
      <c r="C104" s="171"/>
      <c r="D104" s="171"/>
      <c r="E104" s="100"/>
      <c r="F104" s="100"/>
      <c r="G104" s="98"/>
      <c r="H104" s="47">
        <f>SUM(H100:H103)</f>
        <v>1379.08</v>
      </c>
      <c r="I104" s="57"/>
      <c r="J104" s="58">
        <f>SUM(J100:J103)</f>
        <v>1751.4315999999999</v>
      </c>
      <c r="K104" s="39"/>
      <c r="L104" s="23"/>
      <c r="M104" s="24"/>
      <c r="N104" s="24"/>
      <c r="O104" s="24"/>
    </row>
    <row r="105" spans="1:15" s="35" customFormat="1" ht="12.75">
      <c r="A105" s="165" t="s">
        <v>233</v>
      </c>
      <c r="B105" s="165"/>
      <c r="C105" s="165"/>
      <c r="D105" s="165"/>
      <c r="E105" s="100"/>
      <c r="F105" s="100"/>
      <c r="G105" s="98"/>
      <c r="H105" s="47"/>
      <c r="I105" s="57"/>
      <c r="J105" s="58"/>
      <c r="K105" s="39"/>
      <c r="L105" s="23"/>
      <c r="M105" s="24"/>
      <c r="N105" s="24"/>
      <c r="O105" s="24"/>
    </row>
    <row r="106" spans="1:15" s="35" customFormat="1" ht="12.75">
      <c r="A106" s="33">
        <v>1</v>
      </c>
      <c r="B106" s="162" t="s">
        <v>104</v>
      </c>
      <c r="C106" s="162"/>
      <c r="D106" s="162"/>
      <c r="E106" s="30">
        <v>2</v>
      </c>
      <c r="F106" s="100" t="s">
        <v>22</v>
      </c>
      <c r="G106" s="120">
        <v>168.54</v>
      </c>
      <c r="H106" s="32">
        <f t="shared" ref="H106:H117" si="21">(G106*E106)</f>
        <v>337.08</v>
      </c>
      <c r="I106" s="57">
        <v>0.27</v>
      </c>
      <c r="J106" s="31">
        <f>(H106*0.27)+H106</f>
        <v>428.09159999999997</v>
      </c>
      <c r="K106" s="84" t="s">
        <v>289</v>
      </c>
      <c r="L106" s="99"/>
      <c r="M106" s="39"/>
      <c r="N106" s="39"/>
      <c r="O106" s="39"/>
    </row>
    <row r="107" spans="1:15" s="35" customFormat="1" ht="12.75">
      <c r="A107" s="33">
        <v>2</v>
      </c>
      <c r="B107" s="162" t="s">
        <v>105</v>
      </c>
      <c r="C107" s="162"/>
      <c r="D107" s="162"/>
      <c r="E107" s="30">
        <v>6</v>
      </c>
      <c r="F107" s="100" t="s">
        <v>22</v>
      </c>
      <c r="G107" s="120">
        <v>143.52000000000001</v>
      </c>
      <c r="H107" s="32">
        <f t="shared" si="21"/>
        <v>861.12000000000012</v>
      </c>
      <c r="I107" s="57">
        <v>0.27</v>
      </c>
      <c r="J107" s="31">
        <f t="shared" ref="J107:J123" si="22">(H107*0.27)+H107</f>
        <v>1093.6224000000002</v>
      </c>
      <c r="K107" s="84" t="s">
        <v>290</v>
      </c>
      <c r="L107" s="99"/>
      <c r="M107" s="39"/>
      <c r="N107" s="39"/>
      <c r="O107" s="39"/>
    </row>
    <row r="108" spans="1:15" s="35" customFormat="1" ht="15.75" customHeight="1">
      <c r="A108" s="51">
        <v>3</v>
      </c>
      <c r="B108" s="160" t="s">
        <v>251</v>
      </c>
      <c r="C108" s="160"/>
      <c r="D108" s="160"/>
      <c r="E108" s="30">
        <v>3</v>
      </c>
      <c r="F108" s="100" t="s">
        <v>22</v>
      </c>
      <c r="G108" s="120">
        <v>168.54</v>
      </c>
      <c r="H108" s="32">
        <f t="shared" si="21"/>
        <v>505.62</v>
      </c>
      <c r="I108" s="113">
        <v>0.27</v>
      </c>
      <c r="J108" s="31">
        <f t="shared" si="22"/>
        <v>642.13740000000007</v>
      </c>
      <c r="K108" s="111" t="s">
        <v>289</v>
      </c>
      <c r="L108" s="144"/>
      <c r="M108" s="84"/>
      <c r="N108" s="84"/>
      <c r="O108" s="84"/>
    </row>
    <row r="109" spans="1:15" s="35" customFormat="1" ht="12.75">
      <c r="A109" s="33">
        <v>4</v>
      </c>
      <c r="B109" s="162" t="s">
        <v>106</v>
      </c>
      <c r="C109" s="162"/>
      <c r="D109" s="162"/>
      <c r="E109" s="30">
        <v>39</v>
      </c>
      <c r="F109" s="100" t="s">
        <v>22</v>
      </c>
      <c r="G109" s="120">
        <v>143.52000000000001</v>
      </c>
      <c r="H109" s="32">
        <f t="shared" si="21"/>
        <v>5597.2800000000007</v>
      </c>
      <c r="I109" s="113">
        <v>0.27</v>
      </c>
      <c r="J109" s="32">
        <f t="shared" si="22"/>
        <v>7108.5456000000013</v>
      </c>
      <c r="K109" s="84" t="s">
        <v>290</v>
      </c>
      <c r="L109" s="99"/>
      <c r="M109" s="39"/>
      <c r="N109" s="39"/>
      <c r="O109" s="39"/>
    </row>
    <row r="110" spans="1:15" s="35" customFormat="1" ht="12.75">
      <c r="A110" s="33">
        <v>5</v>
      </c>
      <c r="B110" s="162" t="s">
        <v>107</v>
      </c>
      <c r="C110" s="162"/>
      <c r="D110" s="162"/>
      <c r="E110" s="30">
        <v>1</v>
      </c>
      <c r="F110" s="100" t="s">
        <v>22</v>
      </c>
      <c r="G110" s="120">
        <v>329.34</v>
      </c>
      <c r="H110" s="32">
        <f t="shared" si="21"/>
        <v>329.34</v>
      </c>
      <c r="I110" s="113">
        <v>0.27</v>
      </c>
      <c r="J110" s="32">
        <f t="shared" si="22"/>
        <v>418.26179999999999</v>
      </c>
      <c r="K110" s="84" t="s">
        <v>291</v>
      </c>
      <c r="L110" s="99"/>
      <c r="M110" s="39"/>
      <c r="N110" s="39"/>
      <c r="O110" s="39"/>
    </row>
    <row r="111" spans="1:15" s="35" customFormat="1" ht="12.75">
      <c r="A111" s="33">
        <v>6</v>
      </c>
      <c r="B111" s="162" t="s">
        <v>108</v>
      </c>
      <c r="C111" s="162"/>
      <c r="D111" s="162"/>
      <c r="E111" s="30">
        <v>3</v>
      </c>
      <c r="F111" s="100" t="s">
        <v>22</v>
      </c>
      <c r="G111" s="120">
        <v>183.19</v>
      </c>
      <c r="H111" s="32">
        <f t="shared" si="21"/>
        <v>549.56999999999994</v>
      </c>
      <c r="I111" s="113">
        <v>0.27</v>
      </c>
      <c r="J111" s="32">
        <f t="shared" si="22"/>
        <v>697.95389999999998</v>
      </c>
      <c r="K111" s="84" t="s">
        <v>292</v>
      </c>
      <c r="L111" s="99"/>
      <c r="M111" s="39"/>
      <c r="N111" s="39"/>
      <c r="O111" s="39"/>
    </row>
    <row r="112" spans="1:15" s="35" customFormat="1" ht="12.75">
      <c r="A112" s="33">
        <v>7</v>
      </c>
      <c r="B112" s="162" t="s">
        <v>109</v>
      </c>
      <c r="C112" s="162"/>
      <c r="D112" s="162"/>
      <c r="E112" s="30">
        <v>1</v>
      </c>
      <c r="F112" s="100" t="s">
        <v>22</v>
      </c>
      <c r="G112" s="120">
        <v>183.19</v>
      </c>
      <c r="H112" s="32">
        <f t="shared" si="21"/>
        <v>183.19</v>
      </c>
      <c r="I112" s="113">
        <v>0.27</v>
      </c>
      <c r="J112" s="32">
        <f t="shared" si="22"/>
        <v>232.65129999999999</v>
      </c>
      <c r="K112" s="84" t="s">
        <v>292</v>
      </c>
      <c r="L112" s="99"/>
      <c r="M112" s="39"/>
      <c r="N112" s="39"/>
      <c r="O112" s="39"/>
    </row>
    <row r="113" spans="1:16" s="35" customFormat="1" ht="12.75">
      <c r="A113" s="33">
        <v>8</v>
      </c>
      <c r="B113" s="162" t="s">
        <v>110</v>
      </c>
      <c r="C113" s="162"/>
      <c r="D113" s="162"/>
      <c r="E113" s="30">
        <v>4</v>
      </c>
      <c r="F113" s="100" t="s">
        <v>22</v>
      </c>
      <c r="G113" s="120">
        <v>183.19</v>
      </c>
      <c r="H113" s="32">
        <f t="shared" si="21"/>
        <v>732.76</v>
      </c>
      <c r="I113" s="113">
        <v>0.27</v>
      </c>
      <c r="J113" s="32">
        <f t="shared" si="22"/>
        <v>930.60519999999997</v>
      </c>
      <c r="K113" s="84" t="s">
        <v>292</v>
      </c>
      <c r="L113" s="99"/>
      <c r="M113" s="39"/>
      <c r="N113" s="39"/>
      <c r="O113" s="39"/>
    </row>
    <row r="114" spans="1:16" s="35" customFormat="1" ht="12.75">
      <c r="A114" s="33">
        <v>9</v>
      </c>
      <c r="B114" s="162" t="s">
        <v>111</v>
      </c>
      <c r="C114" s="162"/>
      <c r="D114" s="162"/>
      <c r="E114" s="30">
        <v>3</v>
      </c>
      <c r="F114" s="100" t="s">
        <v>22</v>
      </c>
      <c r="G114" s="120">
        <v>31.83</v>
      </c>
      <c r="H114" s="32">
        <f t="shared" si="21"/>
        <v>95.49</v>
      </c>
      <c r="I114" s="57">
        <v>0.27</v>
      </c>
      <c r="J114" s="19">
        <f t="shared" si="22"/>
        <v>121.2723</v>
      </c>
      <c r="K114" s="84" t="s">
        <v>205</v>
      </c>
      <c r="L114" s="23"/>
      <c r="M114" s="24"/>
      <c r="N114" s="24"/>
      <c r="O114" s="24"/>
    </row>
    <row r="115" spans="1:16" s="35" customFormat="1" ht="12.75">
      <c r="A115" s="33">
        <v>10</v>
      </c>
      <c r="B115" s="162" t="s">
        <v>79</v>
      </c>
      <c r="C115" s="162"/>
      <c r="D115" s="162"/>
      <c r="E115" s="30">
        <v>30</v>
      </c>
      <c r="F115" s="100" t="s">
        <v>50</v>
      </c>
      <c r="G115" s="120">
        <v>15.09</v>
      </c>
      <c r="H115" s="32">
        <f t="shared" si="21"/>
        <v>452.7</v>
      </c>
      <c r="I115" s="57">
        <v>0.27</v>
      </c>
      <c r="J115" s="19">
        <f t="shared" si="22"/>
        <v>574.92899999999997</v>
      </c>
      <c r="K115" s="84" t="s">
        <v>206</v>
      </c>
      <c r="L115" s="23"/>
      <c r="M115" s="24"/>
      <c r="N115" s="24"/>
      <c r="O115" s="24"/>
    </row>
    <row r="116" spans="1:16" s="35" customFormat="1" ht="12.75">
      <c r="A116" s="33">
        <v>11</v>
      </c>
      <c r="B116" s="162" t="s">
        <v>78</v>
      </c>
      <c r="C116" s="162"/>
      <c r="D116" s="162"/>
      <c r="E116" s="30">
        <v>20</v>
      </c>
      <c r="F116" s="100" t="s">
        <v>50</v>
      </c>
      <c r="G116" s="120">
        <v>24.12</v>
      </c>
      <c r="H116" s="32">
        <f t="shared" si="21"/>
        <v>482.40000000000003</v>
      </c>
      <c r="I116" s="57">
        <v>0.27</v>
      </c>
      <c r="J116" s="19">
        <f t="shared" si="22"/>
        <v>612.64800000000002</v>
      </c>
      <c r="K116" s="84" t="s">
        <v>207</v>
      </c>
      <c r="L116" s="23"/>
      <c r="M116" s="24"/>
      <c r="N116" s="24"/>
      <c r="O116" s="24"/>
    </row>
    <row r="117" spans="1:16" s="35" customFormat="1" ht="12.75">
      <c r="A117" s="33">
        <v>12</v>
      </c>
      <c r="B117" s="162" t="s">
        <v>80</v>
      </c>
      <c r="C117" s="162"/>
      <c r="D117" s="162"/>
      <c r="E117" s="30">
        <v>1</v>
      </c>
      <c r="F117" s="100" t="s">
        <v>22</v>
      </c>
      <c r="G117" s="120">
        <v>43.46</v>
      </c>
      <c r="H117" s="32">
        <f t="shared" si="21"/>
        <v>43.46</v>
      </c>
      <c r="I117" s="57">
        <v>0.27</v>
      </c>
      <c r="J117" s="19">
        <f t="shared" si="22"/>
        <v>55.194200000000002</v>
      </c>
      <c r="K117" s="84" t="s">
        <v>208</v>
      </c>
      <c r="L117" s="23"/>
      <c r="M117" s="24"/>
      <c r="N117" s="24"/>
      <c r="O117" s="24"/>
    </row>
    <row r="118" spans="1:16" s="35" customFormat="1" ht="12.75">
      <c r="A118" s="33">
        <v>13</v>
      </c>
      <c r="B118" s="162" t="s">
        <v>202</v>
      </c>
      <c r="C118" s="162"/>
      <c r="D118" s="162"/>
      <c r="E118" s="30">
        <v>13</v>
      </c>
      <c r="F118" s="100" t="s">
        <v>22</v>
      </c>
      <c r="G118" s="120">
        <v>219.88</v>
      </c>
      <c r="H118" s="32">
        <f t="shared" ref="H118:H123" si="23">G118*E118</f>
        <v>2858.44</v>
      </c>
      <c r="I118" s="57">
        <v>0</v>
      </c>
      <c r="J118" s="19">
        <f>H118</f>
        <v>2858.44</v>
      </c>
      <c r="K118" s="84" t="s">
        <v>180</v>
      </c>
      <c r="L118" s="23"/>
      <c r="M118" s="24"/>
      <c r="N118" s="24"/>
      <c r="O118" s="24"/>
    </row>
    <row r="119" spans="1:16" s="35" customFormat="1" ht="14.25" customHeight="1">
      <c r="A119" s="33">
        <v>14</v>
      </c>
      <c r="B119" s="162" t="s">
        <v>140</v>
      </c>
      <c r="C119" s="162"/>
      <c r="D119" s="162"/>
      <c r="E119" s="30">
        <v>1</v>
      </c>
      <c r="F119" s="100" t="s">
        <v>22</v>
      </c>
      <c r="G119" s="119">
        <v>411.08</v>
      </c>
      <c r="H119" s="32">
        <f t="shared" si="23"/>
        <v>411.08</v>
      </c>
      <c r="I119" s="57">
        <v>0.27</v>
      </c>
      <c r="J119" s="19">
        <f t="shared" si="22"/>
        <v>522.07159999999999</v>
      </c>
      <c r="K119" s="84" t="s">
        <v>293</v>
      </c>
      <c r="L119" s="99"/>
      <c r="M119" s="99"/>
      <c r="N119" s="39"/>
      <c r="O119" s="39"/>
      <c r="P119" s="39"/>
    </row>
    <row r="120" spans="1:16" s="35" customFormat="1" ht="12.75">
      <c r="A120" s="33">
        <v>15</v>
      </c>
      <c r="B120" s="162" t="s">
        <v>118</v>
      </c>
      <c r="C120" s="162"/>
      <c r="D120" s="162"/>
      <c r="E120" s="30">
        <v>1</v>
      </c>
      <c r="F120" s="100" t="s">
        <v>22</v>
      </c>
      <c r="G120" s="119">
        <v>411.08</v>
      </c>
      <c r="H120" s="32">
        <f t="shared" si="23"/>
        <v>411.08</v>
      </c>
      <c r="I120" s="57">
        <v>0.27</v>
      </c>
      <c r="J120" s="19">
        <f t="shared" si="22"/>
        <v>522.07159999999999</v>
      </c>
      <c r="K120" s="84" t="s">
        <v>137</v>
      </c>
      <c r="L120" s="23"/>
      <c r="M120" s="23"/>
      <c r="N120" s="24"/>
      <c r="O120" s="24"/>
      <c r="P120" s="24"/>
    </row>
    <row r="121" spans="1:16" s="35" customFormat="1" ht="12.75">
      <c r="A121" s="33">
        <v>16</v>
      </c>
      <c r="B121" s="162" t="s">
        <v>249</v>
      </c>
      <c r="C121" s="162"/>
      <c r="D121" s="162"/>
      <c r="E121" s="30">
        <v>1</v>
      </c>
      <c r="F121" s="100" t="s">
        <v>22</v>
      </c>
      <c r="G121" s="119">
        <v>98.92</v>
      </c>
      <c r="H121" s="32">
        <f t="shared" si="23"/>
        <v>98.92</v>
      </c>
      <c r="I121" s="57">
        <v>0.27</v>
      </c>
      <c r="J121" s="19">
        <f t="shared" si="22"/>
        <v>125.6284</v>
      </c>
      <c r="K121" s="84" t="s">
        <v>250</v>
      </c>
      <c r="L121" s="23"/>
      <c r="M121" s="23"/>
      <c r="N121" s="24"/>
      <c r="O121" s="24"/>
      <c r="P121" s="24"/>
    </row>
    <row r="122" spans="1:16" s="35" customFormat="1" ht="12.75">
      <c r="A122" s="33">
        <v>17</v>
      </c>
      <c r="B122" s="162" t="s">
        <v>203</v>
      </c>
      <c r="C122" s="162"/>
      <c r="D122" s="162"/>
      <c r="E122" s="30">
        <v>1</v>
      </c>
      <c r="F122" s="100" t="s">
        <v>22</v>
      </c>
      <c r="G122" s="119">
        <v>80.67</v>
      </c>
      <c r="H122" s="32">
        <f>G122*E122</f>
        <v>80.67</v>
      </c>
      <c r="I122" s="57">
        <v>0.27</v>
      </c>
      <c r="J122" s="19">
        <f t="shared" si="22"/>
        <v>102.4509</v>
      </c>
      <c r="K122" s="84" t="s">
        <v>204</v>
      </c>
      <c r="L122" s="23"/>
      <c r="M122" s="23"/>
      <c r="N122" s="24"/>
      <c r="O122" s="24"/>
      <c r="P122" s="24"/>
    </row>
    <row r="123" spans="1:16" s="35" customFormat="1" ht="12.75">
      <c r="A123" s="33">
        <v>18</v>
      </c>
      <c r="B123" s="162" t="s">
        <v>119</v>
      </c>
      <c r="C123" s="162"/>
      <c r="D123" s="162"/>
      <c r="E123" s="30">
        <v>9</v>
      </c>
      <c r="F123" s="100" t="s">
        <v>22</v>
      </c>
      <c r="G123" s="119">
        <v>75.61</v>
      </c>
      <c r="H123" s="32">
        <f t="shared" si="23"/>
        <v>680.49</v>
      </c>
      <c r="I123" s="57">
        <v>0.27</v>
      </c>
      <c r="J123" s="19">
        <f t="shared" si="22"/>
        <v>864.22230000000002</v>
      </c>
      <c r="K123" s="84" t="s">
        <v>136</v>
      </c>
      <c r="L123" s="23"/>
      <c r="M123" s="23"/>
      <c r="N123" s="24"/>
      <c r="O123" s="24"/>
      <c r="P123" s="24"/>
    </row>
    <row r="124" spans="1:16">
      <c r="A124" s="33"/>
      <c r="B124" s="171" t="s">
        <v>60</v>
      </c>
      <c r="C124" s="171"/>
      <c r="D124" s="171"/>
      <c r="E124" s="102"/>
      <c r="F124" s="103"/>
      <c r="G124" s="98"/>
      <c r="H124" s="34">
        <f>SUM(H106:H123)</f>
        <v>14710.69</v>
      </c>
      <c r="I124" s="10"/>
      <c r="J124" s="34">
        <f>SUM(J106:J123)</f>
        <v>17910.797500000004</v>
      </c>
      <c r="K124" s="38"/>
    </row>
    <row r="125" spans="1:16">
      <c r="A125" s="33"/>
      <c r="B125" s="121"/>
      <c r="C125" s="121"/>
      <c r="D125" s="121"/>
      <c r="E125" s="102"/>
      <c r="F125" s="103"/>
      <c r="G125" s="98"/>
      <c r="H125" s="34"/>
      <c r="I125" s="10"/>
      <c r="J125" s="34"/>
      <c r="K125" s="38"/>
    </row>
    <row r="126" spans="1:16">
      <c r="A126" s="165" t="s">
        <v>234</v>
      </c>
      <c r="B126" s="165"/>
      <c r="C126" s="165"/>
      <c r="D126" s="165"/>
      <c r="E126" s="102"/>
      <c r="F126" s="103"/>
      <c r="G126" s="98"/>
      <c r="H126" s="32"/>
      <c r="I126" s="32"/>
      <c r="J126" s="32"/>
      <c r="K126" s="38"/>
    </row>
    <row r="127" spans="1:16" s="35" customFormat="1" ht="12.75">
      <c r="A127" s="33">
        <v>1</v>
      </c>
      <c r="B127" s="162" t="s">
        <v>138</v>
      </c>
      <c r="C127" s="162"/>
      <c r="D127" s="162"/>
      <c r="E127" s="30">
        <v>1</v>
      </c>
      <c r="F127" s="124" t="s">
        <v>22</v>
      </c>
      <c r="G127" s="119">
        <v>1936.53</v>
      </c>
      <c r="H127" s="32">
        <f>G127*E127</f>
        <v>1936.53</v>
      </c>
      <c r="I127" s="113">
        <v>0.27</v>
      </c>
      <c r="J127" s="32">
        <f>H127*0.27+H127</f>
        <v>2459.3931000000002</v>
      </c>
      <c r="K127" s="118" t="s">
        <v>294</v>
      </c>
      <c r="L127" s="99"/>
      <c r="M127" s="39"/>
      <c r="N127" s="39"/>
      <c r="O127" s="39"/>
    </row>
    <row r="128" spans="1:16" s="35" customFormat="1" ht="12.75">
      <c r="A128" s="33">
        <v>2</v>
      </c>
      <c r="B128" s="162" t="s">
        <v>139</v>
      </c>
      <c r="C128" s="162"/>
      <c r="D128" s="162"/>
      <c r="E128" s="30">
        <v>1</v>
      </c>
      <c r="F128" s="124" t="s">
        <v>22</v>
      </c>
      <c r="G128" s="119">
        <v>1681.37</v>
      </c>
      <c r="H128" s="32">
        <f>G128*E128</f>
        <v>1681.37</v>
      </c>
      <c r="I128" s="113">
        <v>0.27</v>
      </c>
      <c r="J128" s="32">
        <f t="shared" ref="J128:J131" si="24">H128*0.27+H128</f>
        <v>2135.3398999999999</v>
      </c>
      <c r="K128" s="118" t="s">
        <v>295</v>
      </c>
      <c r="L128" s="99"/>
      <c r="M128" s="39"/>
      <c r="N128" s="39"/>
      <c r="O128" s="39"/>
    </row>
    <row r="129" spans="1:16" s="35" customFormat="1" ht="12.75">
      <c r="A129" s="109">
        <v>3</v>
      </c>
      <c r="B129" s="162" t="s">
        <v>297</v>
      </c>
      <c r="C129" s="162"/>
      <c r="D129" s="162"/>
      <c r="E129" s="30">
        <v>1</v>
      </c>
      <c r="F129" s="124" t="s">
        <v>22</v>
      </c>
      <c r="G129" s="119">
        <v>4381.7700000000004</v>
      </c>
      <c r="H129" s="32">
        <f>G129*E129</f>
        <v>4381.7700000000004</v>
      </c>
      <c r="I129" s="113">
        <v>0.27</v>
      </c>
      <c r="J129" s="32">
        <f t="shared" si="24"/>
        <v>5564.8479000000007</v>
      </c>
      <c r="K129" s="118" t="s">
        <v>296</v>
      </c>
      <c r="L129" s="110"/>
      <c r="M129" s="39"/>
      <c r="N129" s="39"/>
      <c r="O129" s="39"/>
    </row>
    <row r="130" spans="1:16">
      <c r="A130" s="81">
        <v>4</v>
      </c>
      <c r="B130" s="162" t="s">
        <v>163</v>
      </c>
      <c r="C130" s="162"/>
      <c r="D130" s="162"/>
      <c r="E130" s="30">
        <v>3</v>
      </c>
      <c r="F130" s="100" t="s">
        <v>22</v>
      </c>
      <c r="G130" s="119">
        <v>468.93</v>
      </c>
      <c r="H130" s="10">
        <f>G130*E130</f>
        <v>1406.79</v>
      </c>
      <c r="I130" s="113">
        <v>0</v>
      </c>
      <c r="J130" s="32">
        <f>H130</f>
        <v>1406.79</v>
      </c>
      <c r="K130" s="115" t="s">
        <v>164</v>
      </c>
      <c r="L130" s="111"/>
      <c r="M130" s="24"/>
      <c r="N130"/>
      <c r="O130"/>
    </row>
    <row r="131" spans="1:16" s="13" customFormat="1">
      <c r="A131" s="81">
        <v>5</v>
      </c>
      <c r="B131" s="162" t="s">
        <v>165</v>
      </c>
      <c r="C131" s="162"/>
      <c r="D131" s="162"/>
      <c r="E131" s="30">
        <v>1</v>
      </c>
      <c r="F131" s="100" t="s">
        <v>22</v>
      </c>
      <c r="G131" s="119">
        <v>375.68</v>
      </c>
      <c r="H131" s="10">
        <f>G131*E131</f>
        <v>375.68</v>
      </c>
      <c r="I131" s="113">
        <v>0.27</v>
      </c>
      <c r="J131" s="32">
        <f t="shared" si="24"/>
        <v>477.11360000000002</v>
      </c>
      <c r="K131" s="115" t="s">
        <v>298</v>
      </c>
      <c r="L131" s="111"/>
      <c r="M131" s="116"/>
    </row>
    <row r="132" spans="1:16">
      <c r="A132" s="33"/>
      <c r="B132" s="121"/>
      <c r="C132" s="121"/>
      <c r="D132" s="121" t="s">
        <v>68</v>
      </c>
      <c r="E132" s="100"/>
      <c r="F132" s="100"/>
      <c r="G132" s="87"/>
      <c r="H132" s="34">
        <f>SUM(H127:H131)</f>
        <v>9782.14</v>
      </c>
      <c r="I132" s="10"/>
      <c r="J132" s="34">
        <f>SUM(J127:J131)</f>
        <v>12043.484500000002</v>
      </c>
      <c r="K132" s="37"/>
    </row>
    <row r="133" spans="1:16">
      <c r="A133" s="33"/>
      <c r="B133" s="121"/>
      <c r="C133" s="121"/>
      <c r="D133" s="121"/>
      <c r="E133" s="100"/>
      <c r="F133" s="100"/>
      <c r="G133" s="87"/>
      <c r="H133" s="34"/>
      <c r="I133" s="10"/>
      <c r="J133" s="34"/>
      <c r="K133" s="37"/>
    </row>
    <row r="134" spans="1:16" s="35" customFormat="1" ht="12.75">
      <c r="A134" s="166" t="s">
        <v>235</v>
      </c>
      <c r="B134" s="166"/>
      <c r="C134" s="166"/>
      <c r="D134" s="166"/>
      <c r="E134" s="30"/>
      <c r="F134" s="100"/>
      <c r="G134" s="33"/>
      <c r="H134" s="31"/>
      <c r="I134" s="10"/>
      <c r="J134" s="57"/>
      <c r="K134" s="19"/>
      <c r="L134" s="24"/>
      <c r="M134" s="23"/>
      <c r="N134" s="24"/>
      <c r="O134" s="24"/>
      <c r="P134" s="24"/>
    </row>
    <row r="135" spans="1:16" s="35" customFormat="1" ht="12.75">
      <c r="A135" s="33">
        <v>1</v>
      </c>
      <c r="B135" s="163" t="s">
        <v>61</v>
      </c>
      <c r="C135" s="163"/>
      <c r="D135" s="163"/>
      <c r="E135" s="30">
        <v>74.2</v>
      </c>
      <c r="F135" s="100" t="s">
        <v>10</v>
      </c>
      <c r="G135" s="119">
        <v>9.43</v>
      </c>
      <c r="H135" s="31">
        <f>E135*G135</f>
        <v>699.70600000000002</v>
      </c>
      <c r="I135" s="57">
        <v>0</v>
      </c>
      <c r="J135" s="86">
        <f>H135</f>
        <v>699.70600000000002</v>
      </c>
      <c r="K135" s="85" t="s">
        <v>179</v>
      </c>
      <c r="L135" s="37"/>
      <c r="M135" s="23"/>
      <c r="N135" s="24"/>
      <c r="O135" s="24"/>
      <c r="P135" s="24"/>
    </row>
    <row r="136" spans="1:16" s="35" customFormat="1" ht="12.75">
      <c r="A136" s="33"/>
      <c r="B136" s="171" t="s">
        <v>62</v>
      </c>
      <c r="C136" s="171"/>
      <c r="D136" s="171"/>
      <c r="E136" s="100"/>
      <c r="F136" s="100"/>
      <c r="G136" s="98"/>
      <c r="H136" s="89">
        <f>H135</f>
        <v>699.70600000000002</v>
      </c>
      <c r="I136" s="34"/>
      <c r="J136" s="88">
        <f>J135</f>
        <v>699.70600000000002</v>
      </c>
      <c r="K136" s="58"/>
      <c r="L136" s="24"/>
      <c r="M136" s="23"/>
      <c r="N136" s="24"/>
      <c r="O136" s="24"/>
      <c r="P136" s="24"/>
    </row>
    <row r="137" spans="1:16" s="35" customFormat="1" ht="12.75">
      <c r="A137" s="33"/>
      <c r="B137" s="121"/>
      <c r="C137" s="121"/>
      <c r="D137" s="121"/>
      <c r="E137" s="100"/>
      <c r="F137" s="100"/>
      <c r="G137" s="98"/>
      <c r="H137" s="89"/>
      <c r="I137" s="34"/>
      <c r="J137" s="88"/>
      <c r="K137" s="58"/>
      <c r="L137" s="24"/>
      <c r="M137" s="23"/>
      <c r="N137" s="24"/>
      <c r="O137" s="24"/>
      <c r="P137" s="24"/>
    </row>
    <row r="138" spans="1:16" s="35" customFormat="1">
      <c r="A138" s="158" t="s">
        <v>212</v>
      </c>
      <c r="B138" s="158"/>
      <c r="C138" s="158"/>
      <c r="D138" s="158"/>
      <c r="E138" s="126"/>
      <c r="F138" s="126"/>
      <c r="G138" s="134"/>
      <c r="H138" s="135">
        <f>H19+H24+H32+H42+H46+H57+H66+H72+H79+H98+H104+H124+H132+H136</f>
        <v>127232.83130000002</v>
      </c>
      <c r="I138" s="136"/>
      <c r="J138" s="137">
        <f>J19+J24+J32+J42+J46+J57+J66+J72+J79+J98+J104+J124+J132+J136</f>
        <v>159197.90053099999</v>
      </c>
      <c r="K138" s="138"/>
      <c r="L138" s="24"/>
      <c r="M138" s="23"/>
      <c r="N138" s="24"/>
      <c r="O138" s="24"/>
      <c r="P138" s="24"/>
    </row>
    <row r="139" spans="1:16" s="35" customFormat="1" ht="12.75">
      <c r="A139" s="33"/>
      <c r="B139" s="121"/>
      <c r="C139" s="121"/>
      <c r="D139" s="121"/>
      <c r="E139" s="100"/>
      <c r="F139" s="100"/>
      <c r="G139" s="98"/>
      <c r="H139" s="89"/>
      <c r="I139" s="34"/>
      <c r="J139" s="88"/>
      <c r="K139" s="58"/>
      <c r="L139" s="24"/>
      <c r="M139" s="23"/>
      <c r="N139" s="24"/>
      <c r="O139" s="24"/>
      <c r="P139" s="24"/>
    </row>
    <row r="140" spans="1:16" s="35" customFormat="1">
      <c r="A140" s="158" t="s">
        <v>190</v>
      </c>
      <c r="B140" s="158"/>
      <c r="C140" s="158"/>
      <c r="D140" s="158"/>
      <c r="E140" s="125"/>
      <c r="F140" s="126"/>
      <c r="G140" s="127"/>
      <c r="H140" s="128"/>
      <c r="I140" s="129"/>
      <c r="J140" s="130"/>
      <c r="K140" s="128"/>
      <c r="L140" s="24"/>
      <c r="M140" s="23"/>
      <c r="N140" s="24"/>
      <c r="O140" s="24"/>
      <c r="P140" s="24"/>
    </row>
    <row r="141" spans="1:16">
      <c r="A141" s="33"/>
      <c r="B141" s="121"/>
      <c r="C141" s="121"/>
      <c r="D141" s="121"/>
      <c r="E141" s="100"/>
      <c r="F141" s="100"/>
      <c r="G141" s="87"/>
      <c r="H141" s="34"/>
      <c r="I141" s="10"/>
      <c r="J141" s="34"/>
      <c r="K141" s="37"/>
    </row>
    <row r="142" spans="1:16" s="35" customFormat="1" ht="12.75">
      <c r="A142" s="165" t="s">
        <v>326</v>
      </c>
      <c r="B142" s="165"/>
      <c r="C142" s="165"/>
      <c r="D142" s="165"/>
      <c r="E142" s="8"/>
      <c r="F142" s="100"/>
      <c r="G142" s="98"/>
      <c r="H142" s="47"/>
      <c r="I142" s="57"/>
      <c r="J142" s="58"/>
      <c r="K142" s="48"/>
      <c r="L142" s="23"/>
      <c r="M142" s="24"/>
      <c r="N142" s="24"/>
      <c r="O142" s="24"/>
    </row>
    <row r="143" spans="1:16" s="13" customFormat="1" ht="18.75" customHeight="1">
      <c r="A143" s="33">
        <v>1</v>
      </c>
      <c r="B143" s="162" t="s">
        <v>73</v>
      </c>
      <c r="C143" s="162"/>
      <c r="D143" s="162"/>
      <c r="E143" s="30">
        <f>8.7*$E$157</f>
        <v>6.96</v>
      </c>
      <c r="F143" s="100" t="s">
        <v>11</v>
      </c>
      <c r="G143" s="32">
        <v>75.16</v>
      </c>
      <c r="H143" s="19">
        <f>E143*G143</f>
        <v>523.11360000000002</v>
      </c>
      <c r="I143" s="57">
        <v>0.27</v>
      </c>
      <c r="J143" s="19">
        <f>(H143*0.27)+H143</f>
        <v>664.35427200000004</v>
      </c>
      <c r="K143" s="37" t="s">
        <v>122</v>
      </c>
      <c r="L143" s="29"/>
      <c r="M143" s="25"/>
      <c r="N143" s="25"/>
      <c r="O143" s="25"/>
    </row>
    <row r="144" spans="1:16" s="13" customFormat="1" ht="20.25" customHeight="1">
      <c r="A144" s="33">
        <v>2</v>
      </c>
      <c r="B144" s="162" t="s">
        <v>74</v>
      </c>
      <c r="C144" s="162"/>
      <c r="D144" s="162"/>
      <c r="E144" s="30">
        <f>3.08*E157</f>
        <v>2.4640000000000004</v>
      </c>
      <c r="F144" s="100" t="s">
        <v>11</v>
      </c>
      <c r="G144" s="32">
        <v>75.16</v>
      </c>
      <c r="H144" s="19">
        <f>E144*G144</f>
        <v>185.19424000000004</v>
      </c>
      <c r="I144" s="57">
        <v>0.27</v>
      </c>
      <c r="J144" s="19">
        <f t="shared" ref="J144:J147" si="25">(H144*0.27)+H144</f>
        <v>235.19668480000004</v>
      </c>
      <c r="K144" s="37" t="s">
        <v>122</v>
      </c>
      <c r="L144" s="29"/>
      <c r="M144" s="25"/>
      <c r="N144" s="25"/>
      <c r="O144" s="25"/>
    </row>
    <row r="145" spans="1:15" s="13" customFormat="1" ht="18.75" customHeight="1">
      <c r="A145" s="33">
        <v>3</v>
      </c>
      <c r="B145" s="163" t="s">
        <v>215</v>
      </c>
      <c r="C145" s="163"/>
      <c r="D145" s="163"/>
      <c r="E145" s="30">
        <f>8.7*E157</f>
        <v>6.96</v>
      </c>
      <c r="F145" s="100" t="s">
        <v>11</v>
      </c>
      <c r="G145" s="32">
        <v>2188.52</v>
      </c>
      <c r="H145" s="19">
        <f>G145*E145</f>
        <v>15232.099200000001</v>
      </c>
      <c r="I145" s="57">
        <v>0.27</v>
      </c>
      <c r="J145" s="19">
        <f t="shared" si="25"/>
        <v>19344.765984000001</v>
      </c>
      <c r="K145" s="37" t="s">
        <v>299</v>
      </c>
      <c r="L145" s="25"/>
      <c r="M145" s="25"/>
      <c r="N145" s="25"/>
      <c r="O145" s="25"/>
    </row>
    <row r="146" spans="1:15" s="13" customFormat="1" ht="19.5" customHeight="1">
      <c r="A146" s="33">
        <v>4</v>
      </c>
      <c r="B146" s="162" t="s">
        <v>93</v>
      </c>
      <c r="C146" s="162"/>
      <c r="D146" s="162"/>
      <c r="E146" s="30">
        <f>1.16*E157</f>
        <v>0.92799999999999994</v>
      </c>
      <c r="F146" s="100" t="s">
        <v>11</v>
      </c>
      <c r="G146" s="32">
        <v>2188.52</v>
      </c>
      <c r="H146" s="19">
        <f>G146*E146</f>
        <v>2030.9465599999999</v>
      </c>
      <c r="I146" s="57">
        <v>0.27</v>
      </c>
      <c r="J146" s="19">
        <f t="shared" si="25"/>
        <v>2579.3021312000001</v>
      </c>
      <c r="K146" s="37" t="s">
        <v>299</v>
      </c>
      <c r="L146" s="25"/>
      <c r="M146" s="25"/>
      <c r="N146" s="25"/>
      <c r="O146" s="25"/>
    </row>
    <row r="147" spans="1:15" s="13" customFormat="1" ht="21.75" customHeight="1">
      <c r="A147" s="33">
        <v>5</v>
      </c>
      <c r="B147" s="163" t="s">
        <v>264</v>
      </c>
      <c r="C147" s="163"/>
      <c r="D147" s="163"/>
      <c r="E147" s="30">
        <f>3.08*E157</f>
        <v>2.4640000000000004</v>
      </c>
      <c r="F147" s="100" t="s">
        <v>11</v>
      </c>
      <c r="G147" s="32">
        <v>2188.52</v>
      </c>
      <c r="H147" s="19">
        <f>G147*E147</f>
        <v>5392.513280000001</v>
      </c>
      <c r="I147" s="57">
        <v>0.27</v>
      </c>
      <c r="J147" s="19">
        <f t="shared" si="25"/>
        <v>6848.4918656000009</v>
      </c>
      <c r="K147" s="37" t="str">
        <f>K145</f>
        <v>SINAPI - 95952</v>
      </c>
      <c r="L147" s="25"/>
      <c r="M147" s="25"/>
      <c r="N147" s="25"/>
      <c r="O147" s="25"/>
    </row>
    <row r="148" spans="1:15" s="13" customFormat="1" ht="22.5" customHeight="1">
      <c r="A148" s="33">
        <v>6</v>
      </c>
      <c r="B148" s="163" t="s">
        <v>101</v>
      </c>
      <c r="C148" s="163"/>
      <c r="D148" s="163"/>
      <c r="E148" s="30">
        <f>51*E157</f>
        <v>40.800000000000004</v>
      </c>
      <c r="F148" s="100" t="s">
        <v>10</v>
      </c>
      <c r="G148" s="32">
        <v>42.05</v>
      </c>
      <c r="H148" s="19">
        <f>G148*E148</f>
        <v>1715.64</v>
      </c>
      <c r="I148" s="57">
        <v>0.27</v>
      </c>
      <c r="J148" s="19">
        <f>(H148*0.27)+H148</f>
        <v>2178.8628000000003</v>
      </c>
      <c r="K148" s="112" t="s">
        <v>121</v>
      </c>
      <c r="L148" s="25"/>
      <c r="M148" s="25"/>
      <c r="N148" s="25"/>
      <c r="O148" s="25"/>
    </row>
    <row r="149" spans="1:15" s="13" customFormat="1" ht="19.5" customHeight="1">
      <c r="A149" s="33">
        <v>7</v>
      </c>
      <c r="B149" s="163" t="s">
        <v>94</v>
      </c>
      <c r="C149" s="163"/>
      <c r="D149" s="163"/>
      <c r="E149" s="30">
        <f>3*E157</f>
        <v>2.4000000000000004</v>
      </c>
      <c r="F149" s="100" t="s">
        <v>11</v>
      </c>
      <c r="G149" s="32">
        <v>2188.52</v>
      </c>
      <c r="H149" s="19">
        <f>E149*G149</f>
        <v>5252.4480000000003</v>
      </c>
      <c r="I149" s="57">
        <v>0.27</v>
      </c>
      <c r="J149" s="19">
        <f>(H149*0.27)+H149</f>
        <v>6670.6089600000005</v>
      </c>
      <c r="K149" s="37" t="str">
        <f t="shared" ref="K149:K150" si="26">K146</f>
        <v>SINAPI - 95952</v>
      </c>
      <c r="L149" s="25"/>
      <c r="M149" s="25"/>
      <c r="N149" s="25"/>
      <c r="O149" s="25"/>
    </row>
    <row r="150" spans="1:15" s="13" customFormat="1" ht="19.5" customHeight="1">
      <c r="A150" s="33">
        <v>8</v>
      </c>
      <c r="B150" s="163" t="s">
        <v>95</v>
      </c>
      <c r="C150" s="163"/>
      <c r="D150" s="163"/>
      <c r="E150" s="30">
        <f>6.16*E157</f>
        <v>4.9280000000000008</v>
      </c>
      <c r="F150" s="100" t="s">
        <v>11</v>
      </c>
      <c r="G150" s="32">
        <v>2188.52</v>
      </c>
      <c r="H150" s="19">
        <f>E150*G150</f>
        <v>10785.026560000002</v>
      </c>
      <c r="I150" s="57">
        <v>0.27</v>
      </c>
      <c r="J150" s="19">
        <f>(H150*0.27)+H150</f>
        <v>13696.983731200002</v>
      </c>
      <c r="K150" s="37" t="str">
        <f t="shared" si="26"/>
        <v>SINAPI - 95952</v>
      </c>
      <c r="L150" s="25"/>
      <c r="M150" s="25"/>
      <c r="N150" s="25"/>
      <c r="O150" s="25"/>
    </row>
    <row r="151" spans="1:15" s="35" customFormat="1" ht="21.75" customHeight="1">
      <c r="A151" s="51">
        <v>9</v>
      </c>
      <c r="B151" s="160" t="s">
        <v>274</v>
      </c>
      <c r="C151" s="160"/>
      <c r="D151" s="160"/>
      <c r="E151" s="30">
        <v>136</v>
      </c>
      <c r="F151" s="100" t="s">
        <v>10</v>
      </c>
      <c r="G151" s="120">
        <v>117.74</v>
      </c>
      <c r="H151" s="32">
        <f>(G151*E151)</f>
        <v>16012.64</v>
      </c>
      <c r="I151" s="57">
        <v>0.27</v>
      </c>
      <c r="J151" s="19">
        <f>(H151*0.27)+H151</f>
        <v>20336.052799999998</v>
      </c>
      <c r="K151" s="111" t="s">
        <v>300</v>
      </c>
      <c r="L151" s="25"/>
      <c r="M151" s="25"/>
      <c r="N151" s="24"/>
      <c r="O151" s="24"/>
    </row>
    <row r="152" spans="1:15" s="13" customFormat="1" ht="19.899999999999999" customHeight="1">
      <c r="A152" s="51">
        <v>10</v>
      </c>
      <c r="B152" s="161" t="s">
        <v>214</v>
      </c>
      <c r="C152" s="161"/>
      <c r="D152" s="161"/>
      <c r="E152" s="30">
        <f>5*E157</f>
        <v>4</v>
      </c>
      <c r="F152" s="100" t="s">
        <v>11</v>
      </c>
      <c r="G152" s="32">
        <v>516.23</v>
      </c>
      <c r="H152" s="32">
        <f>(G152*E152)</f>
        <v>2064.92</v>
      </c>
      <c r="I152" s="57">
        <v>0.27</v>
      </c>
      <c r="J152" s="31">
        <f t="shared" ref="J152:J156" si="27">(H152*0.27)+H152</f>
        <v>2622.4484000000002</v>
      </c>
      <c r="K152" s="111" t="s">
        <v>102</v>
      </c>
      <c r="L152" s="117"/>
      <c r="M152" s="117"/>
      <c r="N152" s="117"/>
      <c r="O152" s="117"/>
    </row>
    <row r="153" spans="1:15" s="35" customFormat="1" ht="17.45" customHeight="1">
      <c r="A153" s="51">
        <v>11</v>
      </c>
      <c r="B153" s="161" t="s">
        <v>156</v>
      </c>
      <c r="C153" s="161"/>
      <c r="D153" s="161"/>
      <c r="E153" s="30">
        <f>342*E157</f>
        <v>273.60000000000002</v>
      </c>
      <c r="F153" s="100" t="s">
        <v>10</v>
      </c>
      <c r="G153" s="120">
        <v>4.37</v>
      </c>
      <c r="H153" s="32">
        <f>(G153*E153)</f>
        <v>1195.6320000000001</v>
      </c>
      <c r="I153" s="57">
        <v>0.27</v>
      </c>
      <c r="J153" s="19">
        <f t="shared" si="27"/>
        <v>1518.45264</v>
      </c>
      <c r="K153" s="98" t="s">
        <v>96</v>
      </c>
      <c r="L153" s="25"/>
      <c r="M153" s="25"/>
      <c r="N153" s="24"/>
      <c r="O153" s="24"/>
    </row>
    <row r="154" spans="1:15">
      <c r="A154" s="51">
        <v>12</v>
      </c>
      <c r="B154" s="161" t="s">
        <v>53</v>
      </c>
      <c r="C154" s="161"/>
      <c r="D154" s="161"/>
      <c r="E154" s="30">
        <f>342*E157</f>
        <v>273.60000000000002</v>
      </c>
      <c r="F154" s="100" t="s">
        <v>10</v>
      </c>
      <c r="G154" s="32">
        <v>26.78</v>
      </c>
      <c r="H154" s="19">
        <f>E154*G154</f>
        <v>7327.0080000000007</v>
      </c>
      <c r="I154" s="57">
        <v>0.27</v>
      </c>
      <c r="J154" s="19">
        <f t="shared" si="27"/>
        <v>9305.3001600000007</v>
      </c>
      <c r="K154" s="98" t="s">
        <v>157</v>
      </c>
    </row>
    <row r="155" spans="1:15" s="35" customFormat="1" ht="18" customHeight="1">
      <c r="A155" s="51">
        <v>13</v>
      </c>
      <c r="B155" s="163" t="s">
        <v>177</v>
      </c>
      <c r="C155" s="163"/>
      <c r="D155" s="163"/>
      <c r="E155" s="149">
        <f>342*E157</f>
        <v>273.60000000000002</v>
      </c>
      <c r="F155" s="150" t="s">
        <v>10</v>
      </c>
      <c r="G155" s="148">
        <v>11.57</v>
      </c>
      <c r="H155" s="19">
        <f>G155*E155</f>
        <v>3165.5520000000001</v>
      </c>
      <c r="I155" s="57">
        <v>0.27</v>
      </c>
      <c r="J155" s="19">
        <f t="shared" si="27"/>
        <v>4020.2510400000001</v>
      </c>
      <c r="K155" s="33" t="s">
        <v>158</v>
      </c>
      <c r="L155" s="114">
        <f>J157+J175+J183+J211+J216</f>
        <v>82630.849343000009</v>
      </c>
      <c r="M155" s="24"/>
      <c r="N155" s="24"/>
      <c r="O155" s="24"/>
    </row>
    <row r="156" spans="1:15" s="35" customFormat="1" ht="15" customHeight="1">
      <c r="A156" s="51">
        <v>14</v>
      </c>
      <c r="B156" s="162" t="s">
        <v>178</v>
      </c>
      <c r="C156" s="162"/>
      <c r="D156" s="162"/>
      <c r="E156" s="149">
        <f>342*E157</f>
        <v>273.60000000000002</v>
      </c>
      <c r="F156" s="150" t="s">
        <v>10</v>
      </c>
      <c r="G156" s="148">
        <v>3.01</v>
      </c>
      <c r="H156" s="10">
        <f>G156*E156</f>
        <v>823.53600000000006</v>
      </c>
      <c r="I156" s="113">
        <v>0.27</v>
      </c>
      <c r="J156" s="19">
        <f t="shared" si="27"/>
        <v>1045.8907200000001</v>
      </c>
      <c r="K156" s="33" t="s">
        <v>126</v>
      </c>
      <c r="L156" s="114"/>
      <c r="M156" s="24"/>
      <c r="N156" s="24"/>
      <c r="O156" s="24"/>
    </row>
    <row r="157" spans="1:15">
      <c r="A157" s="51"/>
      <c r="B157" s="121"/>
      <c r="C157" s="121"/>
      <c r="D157" s="121" t="s">
        <v>192</v>
      </c>
      <c r="E157" s="100">
        <v>0.8</v>
      </c>
      <c r="F157" s="100"/>
      <c r="G157" s="122"/>
      <c r="H157" s="47">
        <f>SUM(H151:H156)</f>
        <v>30589.288</v>
      </c>
      <c r="I157" s="32"/>
      <c r="J157" s="47">
        <f>SUM(J151:J156)</f>
        <v>38848.395760000007</v>
      </c>
      <c r="K157" s="79"/>
    </row>
    <row r="158" spans="1:15">
      <c r="A158" s="33"/>
      <c r="B158" s="121"/>
      <c r="C158" s="121"/>
      <c r="D158" s="121"/>
      <c r="E158" s="100"/>
      <c r="F158" s="100"/>
      <c r="G158" s="87"/>
      <c r="H158" s="34"/>
      <c r="I158" s="10"/>
      <c r="J158" s="34"/>
      <c r="K158" s="37"/>
    </row>
    <row r="159" spans="1:15">
      <c r="A159" s="33"/>
      <c r="B159" s="121"/>
      <c r="C159" s="121"/>
      <c r="D159" s="121"/>
      <c r="E159" s="100"/>
      <c r="F159" s="100"/>
      <c r="G159" s="87"/>
      <c r="H159" s="34"/>
      <c r="I159" s="10"/>
      <c r="J159" s="34"/>
      <c r="K159" s="37"/>
    </row>
    <row r="160" spans="1:15" s="35" customFormat="1" ht="12.75">
      <c r="A160" s="165" t="s">
        <v>265</v>
      </c>
      <c r="B160" s="165"/>
      <c r="C160" s="165"/>
      <c r="D160" s="165"/>
      <c r="E160" s="100"/>
      <c r="F160" s="100"/>
      <c r="G160" s="145"/>
      <c r="H160" s="47"/>
      <c r="I160" s="57"/>
      <c r="J160" s="58"/>
      <c r="K160" s="48"/>
      <c r="L160" s="23"/>
      <c r="M160" s="24"/>
      <c r="N160" s="24"/>
      <c r="O160" s="24"/>
    </row>
    <row r="161" spans="1:15" s="13" customFormat="1" ht="18.75" customHeight="1">
      <c r="A161" s="33">
        <v>1</v>
      </c>
      <c r="B161" s="162" t="s">
        <v>73</v>
      </c>
      <c r="C161" s="162"/>
      <c r="D161" s="162"/>
      <c r="E161" s="30">
        <v>1.25</v>
      </c>
      <c r="F161" s="100" t="s">
        <v>11</v>
      </c>
      <c r="G161" s="32">
        <v>75.16</v>
      </c>
      <c r="H161" s="19">
        <f>E161*G161</f>
        <v>93.949999999999989</v>
      </c>
      <c r="I161" s="57">
        <v>0.27</v>
      </c>
      <c r="J161" s="19">
        <f>(H161*0.27)+H161</f>
        <v>119.31649999999999</v>
      </c>
      <c r="K161" s="37" t="s">
        <v>122</v>
      </c>
      <c r="L161" s="29"/>
      <c r="M161" s="25"/>
      <c r="N161" s="25"/>
      <c r="O161" s="25"/>
    </row>
    <row r="162" spans="1:15" s="13" customFormat="1" ht="20.25" customHeight="1">
      <c r="A162" s="33">
        <v>2</v>
      </c>
      <c r="B162" s="162" t="s">
        <v>74</v>
      </c>
      <c r="C162" s="162"/>
      <c r="D162" s="162"/>
      <c r="E162" s="30">
        <v>1.8</v>
      </c>
      <c r="F162" s="100" t="s">
        <v>11</v>
      </c>
      <c r="G162" s="32">
        <v>75.16</v>
      </c>
      <c r="H162" s="19">
        <f>E162*G162</f>
        <v>135.28800000000001</v>
      </c>
      <c r="I162" s="57">
        <v>0.27</v>
      </c>
      <c r="J162" s="19">
        <f t="shared" ref="J162:J165" si="28">(H162*0.27)+H162</f>
        <v>171.81576000000001</v>
      </c>
      <c r="K162" s="37" t="s">
        <v>122</v>
      </c>
      <c r="L162" s="29"/>
      <c r="M162" s="25"/>
      <c r="N162" s="25"/>
      <c r="O162" s="25"/>
    </row>
    <row r="163" spans="1:15" s="13" customFormat="1" ht="18.75" customHeight="1">
      <c r="A163" s="33">
        <v>3</v>
      </c>
      <c r="B163" s="163" t="s">
        <v>269</v>
      </c>
      <c r="C163" s="163"/>
      <c r="D163" s="163"/>
      <c r="E163" s="30">
        <v>1.25</v>
      </c>
      <c r="F163" s="100" t="s">
        <v>11</v>
      </c>
      <c r="G163" s="32">
        <v>2188.52</v>
      </c>
      <c r="H163" s="19">
        <f>G163*E163</f>
        <v>2735.65</v>
      </c>
      <c r="I163" s="57">
        <v>0.27</v>
      </c>
      <c r="J163" s="19">
        <f t="shared" si="28"/>
        <v>3474.2755000000002</v>
      </c>
      <c r="K163" s="37" t="s">
        <v>299</v>
      </c>
      <c r="L163" s="25"/>
      <c r="M163" s="25"/>
      <c r="N163" s="25"/>
      <c r="O163" s="25"/>
    </row>
    <row r="164" spans="1:15" s="13" customFormat="1" ht="19.5" customHeight="1">
      <c r="A164" s="33">
        <v>4</v>
      </c>
      <c r="B164" s="162" t="s">
        <v>93</v>
      </c>
      <c r="C164" s="162"/>
      <c r="D164" s="162"/>
      <c r="E164" s="30">
        <v>0.36</v>
      </c>
      <c r="F164" s="100" t="s">
        <v>11</v>
      </c>
      <c r="G164" s="32">
        <v>2188.52</v>
      </c>
      <c r="H164" s="19">
        <f>G164*E164</f>
        <v>787.86719999999991</v>
      </c>
      <c r="I164" s="57">
        <v>0.27</v>
      </c>
      <c r="J164" s="19">
        <f t="shared" si="28"/>
        <v>1000.5913439999999</v>
      </c>
      <c r="K164" s="37" t="s">
        <v>299</v>
      </c>
      <c r="L164" s="25"/>
      <c r="M164" s="25"/>
      <c r="N164" s="25"/>
      <c r="O164" s="25"/>
    </row>
    <row r="165" spans="1:15" s="13" customFormat="1" ht="21.75" customHeight="1">
      <c r="A165" s="33">
        <v>5</v>
      </c>
      <c r="B165" s="163" t="s">
        <v>264</v>
      </c>
      <c r="C165" s="163"/>
      <c r="D165" s="163"/>
      <c r="E165" s="30">
        <v>1.8</v>
      </c>
      <c r="F165" s="100" t="s">
        <v>11</v>
      </c>
      <c r="G165" s="32">
        <v>2188.52</v>
      </c>
      <c r="H165" s="19">
        <f>G165*E165</f>
        <v>3939.3360000000002</v>
      </c>
      <c r="I165" s="57">
        <v>0.27</v>
      </c>
      <c r="J165" s="19">
        <f t="shared" si="28"/>
        <v>5002.9567200000001</v>
      </c>
      <c r="K165" s="37" t="str">
        <f>K163</f>
        <v>SINAPI - 95952</v>
      </c>
      <c r="L165" s="25"/>
      <c r="M165" s="25"/>
      <c r="N165" s="25"/>
      <c r="O165" s="25"/>
    </row>
    <row r="166" spans="1:15" s="13" customFormat="1" ht="22.5" customHeight="1">
      <c r="A166" s="33">
        <v>6</v>
      </c>
      <c r="B166" s="163" t="s">
        <v>101</v>
      </c>
      <c r="C166" s="163"/>
      <c r="D166" s="163"/>
      <c r="E166" s="30">
        <v>31.5</v>
      </c>
      <c r="F166" s="100" t="s">
        <v>10</v>
      </c>
      <c r="G166" s="32">
        <v>42.05</v>
      </c>
      <c r="H166" s="19">
        <f>G166*E166</f>
        <v>1324.5749999999998</v>
      </c>
      <c r="I166" s="57">
        <v>0.27</v>
      </c>
      <c r="J166" s="19">
        <f>(H166*0.27)+H166</f>
        <v>1682.2102499999999</v>
      </c>
      <c r="K166" s="112" t="s">
        <v>121</v>
      </c>
      <c r="L166" s="25"/>
      <c r="M166" s="25"/>
      <c r="N166" s="25"/>
      <c r="O166" s="25"/>
    </row>
    <row r="167" spans="1:15" s="13" customFormat="1" ht="19.5" customHeight="1">
      <c r="A167" s="33">
        <v>7</v>
      </c>
      <c r="B167" s="163" t="s">
        <v>94</v>
      </c>
      <c r="C167" s="163"/>
      <c r="D167" s="163"/>
      <c r="E167" s="30">
        <v>0.44</v>
      </c>
      <c r="F167" s="100" t="s">
        <v>11</v>
      </c>
      <c r="G167" s="32">
        <v>2188.52</v>
      </c>
      <c r="H167" s="19">
        <f>E167*G167</f>
        <v>962.94880000000001</v>
      </c>
      <c r="I167" s="57">
        <v>0.27</v>
      </c>
      <c r="J167" s="19">
        <f>(H167*0.27)+H167</f>
        <v>1222.944976</v>
      </c>
      <c r="K167" s="37" t="str">
        <f t="shared" ref="K167:K168" si="29">K164</f>
        <v>SINAPI - 95952</v>
      </c>
      <c r="L167" s="25"/>
      <c r="M167" s="25"/>
      <c r="N167" s="25"/>
      <c r="O167" s="25"/>
    </row>
    <row r="168" spans="1:15" s="13" customFormat="1" ht="19.5" customHeight="1">
      <c r="A168" s="33">
        <v>8</v>
      </c>
      <c r="B168" s="163" t="s">
        <v>95</v>
      </c>
      <c r="C168" s="163"/>
      <c r="D168" s="163"/>
      <c r="E168" s="30">
        <v>1.2</v>
      </c>
      <c r="F168" s="100" t="s">
        <v>11</v>
      </c>
      <c r="G168" s="32">
        <v>2188.52</v>
      </c>
      <c r="H168" s="19">
        <f>E168*G168</f>
        <v>2626.2239999999997</v>
      </c>
      <c r="I168" s="57">
        <v>0.27</v>
      </c>
      <c r="J168" s="19">
        <f>(H168*0.27)+H168</f>
        <v>3335.3044799999998</v>
      </c>
      <c r="K168" s="37" t="str">
        <f t="shared" si="29"/>
        <v>SINAPI - 95952</v>
      </c>
      <c r="L168" s="25"/>
      <c r="M168" s="25"/>
      <c r="N168" s="25"/>
      <c r="O168" s="25"/>
    </row>
    <row r="169" spans="1:15" s="35" customFormat="1" ht="21.75" customHeight="1">
      <c r="A169" s="51">
        <v>9</v>
      </c>
      <c r="B169" s="160" t="s">
        <v>274</v>
      </c>
      <c r="C169" s="160"/>
      <c r="D169" s="160"/>
      <c r="E169" s="30">
        <v>40</v>
      </c>
      <c r="F169" s="100" t="s">
        <v>10</v>
      </c>
      <c r="G169" s="120">
        <v>117.74</v>
      </c>
      <c r="H169" s="32">
        <f>(G169*E169)</f>
        <v>4709.5999999999995</v>
      </c>
      <c r="I169" s="57">
        <v>0.27</v>
      </c>
      <c r="J169" s="19">
        <f>(H169*0.27)+H169</f>
        <v>5981.1919999999991</v>
      </c>
      <c r="K169" s="111" t="s">
        <v>300</v>
      </c>
      <c r="L169" s="25"/>
      <c r="M169" s="25"/>
      <c r="N169" s="24"/>
      <c r="O169" s="24"/>
    </row>
    <row r="170" spans="1:15" s="13" customFormat="1" ht="19.899999999999999" customHeight="1">
      <c r="A170" s="51">
        <v>10</v>
      </c>
      <c r="B170" s="161" t="s">
        <v>214</v>
      </c>
      <c r="C170" s="161"/>
      <c r="D170" s="161"/>
      <c r="E170" s="30">
        <v>2</v>
      </c>
      <c r="F170" s="100" t="s">
        <v>11</v>
      </c>
      <c r="G170" s="32">
        <v>516.23</v>
      </c>
      <c r="H170" s="32">
        <f>(G170*E170)</f>
        <v>1032.46</v>
      </c>
      <c r="I170" s="57">
        <v>0.27</v>
      </c>
      <c r="J170" s="31">
        <f t="shared" ref="J170:J174" si="30">(H170*0.27)+H170</f>
        <v>1311.2242000000001</v>
      </c>
      <c r="K170" s="111" t="s">
        <v>102</v>
      </c>
      <c r="L170" s="117"/>
      <c r="M170" s="117"/>
      <c r="N170" s="117"/>
      <c r="O170" s="117"/>
    </row>
    <row r="171" spans="1:15" s="35" customFormat="1" ht="17.45" customHeight="1">
      <c r="A171" s="51">
        <v>11</v>
      </c>
      <c r="B171" s="161" t="s">
        <v>156</v>
      </c>
      <c r="C171" s="161"/>
      <c r="D171" s="161"/>
      <c r="E171" s="30">
        <v>80</v>
      </c>
      <c r="F171" s="100" t="s">
        <v>10</v>
      </c>
      <c r="G171" s="120">
        <v>4.37</v>
      </c>
      <c r="H171" s="32">
        <f>(G171*E171)</f>
        <v>349.6</v>
      </c>
      <c r="I171" s="57">
        <v>0.27</v>
      </c>
      <c r="J171" s="19">
        <f t="shared" si="30"/>
        <v>443.99200000000002</v>
      </c>
      <c r="K171" s="98" t="s">
        <v>96</v>
      </c>
      <c r="L171" s="25"/>
      <c r="M171" s="25"/>
      <c r="N171" s="24"/>
      <c r="O171" s="24"/>
    </row>
    <row r="172" spans="1:15">
      <c r="A172" s="51">
        <v>12</v>
      </c>
      <c r="B172" s="161" t="s">
        <v>53</v>
      </c>
      <c r="C172" s="161"/>
      <c r="D172" s="161"/>
      <c r="E172" s="30">
        <v>80</v>
      </c>
      <c r="F172" s="100" t="s">
        <v>10</v>
      </c>
      <c r="G172" s="32">
        <v>26.78</v>
      </c>
      <c r="H172" s="19">
        <f>E172*G172</f>
        <v>2142.4</v>
      </c>
      <c r="I172" s="57">
        <v>0.27</v>
      </c>
      <c r="J172" s="19">
        <f t="shared" si="30"/>
        <v>2720.848</v>
      </c>
      <c r="K172" s="98" t="s">
        <v>157</v>
      </c>
    </row>
    <row r="173" spans="1:15" s="35" customFormat="1" ht="18" customHeight="1">
      <c r="A173" s="51">
        <v>13</v>
      </c>
      <c r="B173" s="163" t="s">
        <v>177</v>
      </c>
      <c r="C173" s="163"/>
      <c r="D173" s="163"/>
      <c r="E173" s="149">
        <v>80</v>
      </c>
      <c r="F173" s="150" t="s">
        <v>10</v>
      </c>
      <c r="G173" s="148">
        <v>11.57</v>
      </c>
      <c r="H173" s="19">
        <f>G173*E173</f>
        <v>925.6</v>
      </c>
      <c r="I173" s="57">
        <v>0.27</v>
      </c>
      <c r="J173" s="19">
        <f t="shared" si="30"/>
        <v>1175.5120000000002</v>
      </c>
      <c r="K173" s="33" t="s">
        <v>158</v>
      </c>
      <c r="L173" s="36"/>
      <c r="M173" s="24"/>
      <c r="N173" s="24"/>
      <c r="O173" s="24"/>
    </row>
    <row r="174" spans="1:15" s="35" customFormat="1" ht="15" customHeight="1">
      <c r="A174" s="51">
        <v>14</v>
      </c>
      <c r="B174" s="162" t="s">
        <v>178</v>
      </c>
      <c r="C174" s="162"/>
      <c r="D174" s="162"/>
      <c r="E174" s="149">
        <v>80</v>
      </c>
      <c r="F174" s="150" t="s">
        <v>10</v>
      </c>
      <c r="G174" s="148">
        <v>3.01</v>
      </c>
      <c r="H174" s="10">
        <f>G174*E174</f>
        <v>240.79999999999998</v>
      </c>
      <c r="I174" s="113">
        <v>0.27</v>
      </c>
      <c r="J174" s="19">
        <f t="shared" si="30"/>
        <v>305.81599999999997</v>
      </c>
      <c r="K174" s="33" t="s">
        <v>126</v>
      </c>
      <c r="L174" s="114"/>
      <c r="M174" s="24"/>
      <c r="N174" s="24"/>
      <c r="O174" s="24"/>
    </row>
    <row r="175" spans="1:15" s="35" customFormat="1" ht="21" customHeight="1">
      <c r="A175" s="51"/>
      <c r="B175" s="121"/>
      <c r="C175" s="121"/>
      <c r="D175" s="121" t="s">
        <v>159</v>
      </c>
      <c r="E175" s="100"/>
      <c r="F175" s="100"/>
      <c r="G175" s="122"/>
      <c r="H175" s="47">
        <f>SUM(H161:H174)</f>
        <v>22006.298999999995</v>
      </c>
      <c r="I175" s="32"/>
      <c r="J175" s="47">
        <f>SUM(J161:J174)</f>
        <v>27947.99973</v>
      </c>
      <c r="K175" s="79"/>
      <c r="L175" s="25"/>
      <c r="M175" s="25"/>
      <c r="N175" s="24"/>
      <c r="O175" s="24"/>
    </row>
    <row r="176" spans="1:15">
      <c r="A176" s="51"/>
      <c r="B176" s="121"/>
      <c r="C176" s="121"/>
      <c r="D176" s="121"/>
      <c r="E176" s="100"/>
      <c r="F176" s="100"/>
      <c r="G176" s="122"/>
      <c r="H176" s="47"/>
      <c r="I176" s="32"/>
      <c r="J176" s="47"/>
      <c r="K176" s="79"/>
    </row>
    <row r="177" spans="1:15">
      <c r="A177" s="165" t="s">
        <v>275</v>
      </c>
      <c r="B177" s="165"/>
      <c r="C177" s="165"/>
      <c r="D177" s="165"/>
      <c r="E177" s="30"/>
      <c r="F177" s="100"/>
      <c r="G177" s="32"/>
      <c r="H177" s="10"/>
      <c r="I177" s="57"/>
      <c r="J177" s="19"/>
      <c r="K177" s="37"/>
    </row>
    <row r="178" spans="1:15">
      <c r="A178" s="81">
        <v>1</v>
      </c>
      <c r="B178" s="162" t="s">
        <v>51</v>
      </c>
      <c r="C178" s="165"/>
      <c r="D178" s="165"/>
      <c r="E178" s="30">
        <v>11</v>
      </c>
      <c r="F178" s="100" t="s">
        <v>11</v>
      </c>
      <c r="G178" s="32">
        <v>75.44</v>
      </c>
      <c r="H178" s="19">
        <f>E178*G178</f>
        <v>829.83999999999992</v>
      </c>
      <c r="I178" s="57">
        <v>0.27</v>
      </c>
      <c r="J178" s="19">
        <f>(H178*0.27)+H178</f>
        <v>1053.8968</v>
      </c>
      <c r="K178" s="37" t="s">
        <v>123</v>
      </c>
    </row>
    <row r="179" spans="1:15" ht="19.5" customHeight="1">
      <c r="A179" s="33">
        <v>2</v>
      </c>
      <c r="B179" s="162" t="s">
        <v>24</v>
      </c>
      <c r="C179" s="162"/>
      <c r="D179" s="162"/>
      <c r="E179" s="30">
        <v>2.75</v>
      </c>
      <c r="F179" s="100" t="s">
        <v>11</v>
      </c>
      <c r="G179" s="32">
        <v>104.45</v>
      </c>
      <c r="H179" s="19">
        <f>E179*G179</f>
        <v>287.23750000000001</v>
      </c>
      <c r="I179" s="57">
        <v>0.27</v>
      </c>
      <c r="J179" s="19">
        <f t="shared" ref="J179:J182" si="31">(H179*0.27)+H179</f>
        <v>364.79162500000001</v>
      </c>
      <c r="K179" s="37" t="s">
        <v>301</v>
      </c>
    </row>
    <row r="180" spans="1:15" ht="19.5" customHeight="1">
      <c r="A180" s="33">
        <v>3</v>
      </c>
      <c r="B180" s="162" t="s">
        <v>25</v>
      </c>
      <c r="C180" s="162"/>
      <c r="D180" s="162"/>
      <c r="E180" s="30">
        <v>55</v>
      </c>
      <c r="F180" s="100" t="s">
        <v>10</v>
      </c>
      <c r="G180" s="32">
        <v>60.07</v>
      </c>
      <c r="H180" s="19">
        <f>E180*G180</f>
        <v>3303.85</v>
      </c>
      <c r="I180" s="57">
        <v>0.27</v>
      </c>
      <c r="J180" s="19">
        <f t="shared" si="31"/>
        <v>4195.8895000000002</v>
      </c>
      <c r="K180" s="37" t="s">
        <v>75</v>
      </c>
    </row>
    <row r="181" spans="1:15" ht="17.25" customHeight="1">
      <c r="A181" s="33">
        <v>4</v>
      </c>
      <c r="B181" s="163" t="s">
        <v>201</v>
      </c>
      <c r="C181" s="163"/>
      <c r="D181" s="163"/>
      <c r="E181" s="30">
        <v>55</v>
      </c>
      <c r="F181" s="100" t="s">
        <v>10</v>
      </c>
      <c r="G181" s="32">
        <v>64.75</v>
      </c>
      <c r="H181" s="19">
        <f>E181*G181</f>
        <v>3561.25</v>
      </c>
      <c r="I181" s="57">
        <v>0.27</v>
      </c>
      <c r="J181" s="19">
        <f t="shared" si="31"/>
        <v>4522.7875000000004</v>
      </c>
      <c r="K181" s="37" t="s">
        <v>200</v>
      </c>
    </row>
    <row r="182" spans="1:15" ht="18.75" customHeight="1">
      <c r="A182" s="33">
        <v>5</v>
      </c>
      <c r="B182" s="162" t="s">
        <v>100</v>
      </c>
      <c r="C182" s="162"/>
      <c r="D182" s="162"/>
      <c r="E182" s="30">
        <v>85</v>
      </c>
      <c r="F182" s="100" t="s">
        <v>48</v>
      </c>
      <c r="G182" s="32">
        <v>14.84</v>
      </c>
      <c r="H182" s="19">
        <f>E182*G182</f>
        <v>1261.4000000000001</v>
      </c>
      <c r="I182" s="57">
        <v>0.27</v>
      </c>
      <c r="J182" s="19">
        <f t="shared" si="31"/>
        <v>1601.9780000000001</v>
      </c>
      <c r="K182" s="37" t="s">
        <v>143</v>
      </c>
    </row>
    <row r="183" spans="1:15" ht="18.75" customHeight="1">
      <c r="A183" s="33"/>
      <c r="B183" s="171" t="s">
        <v>191</v>
      </c>
      <c r="C183" s="171"/>
      <c r="D183" s="171"/>
      <c r="E183" s="30"/>
      <c r="F183" s="100"/>
      <c r="G183" s="32"/>
      <c r="H183" s="34">
        <f>H178+H179+H180+H181+H182</f>
        <v>9243.5774999999994</v>
      </c>
      <c r="I183" s="57"/>
      <c r="J183" s="58">
        <f>J178+J179+J180+J181+J182</f>
        <v>11739.343424999999</v>
      </c>
      <c r="K183" s="37"/>
    </row>
    <row r="184" spans="1:15">
      <c r="A184" s="51"/>
      <c r="B184" s="121"/>
      <c r="C184" s="121"/>
      <c r="D184" s="121"/>
      <c r="E184" s="100"/>
      <c r="F184" s="100"/>
      <c r="G184" s="122"/>
      <c r="H184" s="47"/>
      <c r="I184" s="32"/>
      <c r="J184" s="47"/>
      <c r="K184" s="79"/>
    </row>
    <row r="185" spans="1:15">
      <c r="A185" s="166" t="s">
        <v>193</v>
      </c>
      <c r="B185" s="166"/>
      <c r="C185" s="166"/>
      <c r="D185" s="166"/>
      <c r="E185" s="42"/>
      <c r="F185" s="147"/>
      <c r="G185" s="43"/>
      <c r="H185" s="34"/>
      <c r="I185" s="57"/>
      <c r="J185" s="19"/>
      <c r="K185" s="26"/>
    </row>
    <row r="186" spans="1:15" s="6" customFormat="1">
      <c r="A186" s="33">
        <v>1</v>
      </c>
      <c r="B186" s="162" t="s">
        <v>73</v>
      </c>
      <c r="C186" s="162"/>
      <c r="D186" s="162"/>
      <c r="E186" s="30">
        <v>2.0499999999999998</v>
      </c>
      <c r="F186" s="100" t="s">
        <v>11</v>
      </c>
      <c r="G186" s="32">
        <v>75.16</v>
      </c>
      <c r="H186" s="19">
        <f>E186*G186</f>
        <v>154.07799999999997</v>
      </c>
      <c r="I186" s="57">
        <v>0.27</v>
      </c>
      <c r="J186" s="19">
        <f>(H186*0.27)+H186</f>
        <v>195.67905999999996</v>
      </c>
      <c r="K186" s="37" t="s">
        <v>122</v>
      </c>
      <c r="L186" s="27"/>
      <c r="M186" s="27"/>
      <c r="N186" s="27"/>
      <c r="O186" s="27"/>
    </row>
    <row r="187" spans="1:15" s="13" customFormat="1">
      <c r="A187" s="33">
        <v>2</v>
      </c>
      <c r="B187" s="162" t="s">
        <v>74</v>
      </c>
      <c r="C187" s="162"/>
      <c r="D187" s="162"/>
      <c r="E187" s="30">
        <v>0.33</v>
      </c>
      <c r="F187" s="100" t="s">
        <v>11</v>
      </c>
      <c r="G187" s="32">
        <v>75.16</v>
      </c>
      <c r="H187" s="19">
        <f>E187*G187</f>
        <v>24.802800000000001</v>
      </c>
      <c r="I187" s="57">
        <v>0.27</v>
      </c>
      <c r="J187" s="19">
        <f t="shared" ref="J187:J193" si="32">(H187*0.27)+H187</f>
        <v>31.499556000000002</v>
      </c>
      <c r="K187" s="37" t="s">
        <v>122</v>
      </c>
      <c r="L187" s="29"/>
      <c r="M187" s="25"/>
      <c r="N187" s="25"/>
      <c r="O187" s="25"/>
    </row>
    <row r="188" spans="1:15" s="13" customFormat="1">
      <c r="A188" s="33">
        <v>3</v>
      </c>
      <c r="B188" s="163" t="s">
        <v>213</v>
      </c>
      <c r="C188" s="163"/>
      <c r="D188" s="163"/>
      <c r="E188" s="30">
        <v>2.0499999999999998</v>
      </c>
      <c r="F188" s="100" t="s">
        <v>11</v>
      </c>
      <c r="G188" s="32">
        <v>2188.52</v>
      </c>
      <c r="H188" s="19">
        <f>G188*E188</f>
        <v>4486.4659999999994</v>
      </c>
      <c r="I188" s="57">
        <v>0.27</v>
      </c>
      <c r="J188" s="19">
        <f t="shared" si="32"/>
        <v>5697.811819999999</v>
      </c>
      <c r="K188" s="37" t="s">
        <v>120</v>
      </c>
      <c r="L188" s="29"/>
      <c r="M188" s="25"/>
      <c r="N188" s="25"/>
      <c r="O188" s="25"/>
    </row>
    <row r="189" spans="1:15" s="13" customFormat="1">
      <c r="A189" s="33">
        <v>4</v>
      </c>
      <c r="B189" s="162" t="s">
        <v>93</v>
      </c>
      <c r="C189" s="162"/>
      <c r="D189" s="162"/>
      <c r="E189" s="30">
        <v>0.18</v>
      </c>
      <c r="F189" s="100" t="s">
        <v>11</v>
      </c>
      <c r="G189" s="32">
        <v>2188.52</v>
      </c>
      <c r="H189" s="19">
        <f>G189*E189</f>
        <v>393.93359999999996</v>
      </c>
      <c r="I189" s="57">
        <v>0.27</v>
      </c>
      <c r="J189" s="19">
        <f t="shared" si="32"/>
        <v>500.29567199999997</v>
      </c>
      <c r="K189" s="37" t="s">
        <v>120</v>
      </c>
      <c r="L189" s="25"/>
      <c r="M189" s="25"/>
      <c r="N189" s="25"/>
      <c r="O189" s="25"/>
    </row>
    <row r="190" spans="1:15" s="13" customFormat="1">
      <c r="A190" s="33">
        <v>5</v>
      </c>
      <c r="B190" s="163" t="s">
        <v>264</v>
      </c>
      <c r="C190" s="163"/>
      <c r="D190" s="163"/>
      <c r="E190" s="30">
        <v>0.33</v>
      </c>
      <c r="F190" s="100" t="s">
        <v>11</v>
      </c>
      <c r="G190" s="32">
        <v>2188.52</v>
      </c>
      <c r="H190" s="19">
        <f>G190*E190</f>
        <v>722.21159999999998</v>
      </c>
      <c r="I190" s="57">
        <v>0.27</v>
      </c>
      <c r="J190" s="19">
        <f t="shared" si="32"/>
        <v>917.20873199999994</v>
      </c>
      <c r="K190" s="37" t="str">
        <f>K188</f>
        <v>Sinapi - 95952</v>
      </c>
      <c r="L190" s="25"/>
      <c r="M190" s="25"/>
      <c r="N190" s="25"/>
      <c r="O190" s="25"/>
    </row>
    <row r="191" spans="1:15" s="13" customFormat="1">
      <c r="A191" s="33">
        <v>6</v>
      </c>
      <c r="B191" s="163" t="s">
        <v>101</v>
      </c>
      <c r="C191" s="163"/>
      <c r="D191" s="163"/>
      <c r="E191" s="30">
        <v>1.5</v>
      </c>
      <c r="F191" s="100" t="s">
        <v>10</v>
      </c>
      <c r="G191" s="32">
        <v>42.05</v>
      </c>
      <c r="H191" s="19">
        <f>G191*E191</f>
        <v>63.074999999999996</v>
      </c>
      <c r="I191" s="57">
        <v>0.27</v>
      </c>
      <c r="J191" s="19">
        <f t="shared" si="32"/>
        <v>80.105249999999998</v>
      </c>
      <c r="K191" s="112" t="s">
        <v>121</v>
      </c>
      <c r="L191" s="25"/>
      <c r="M191" s="25"/>
      <c r="N191" s="25"/>
      <c r="O191" s="25"/>
    </row>
    <row r="192" spans="1:15" s="13" customFormat="1">
      <c r="A192" s="33">
        <v>7</v>
      </c>
      <c r="B192" s="163" t="s">
        <v>94</v>
      </c>
      <c r="C192" s="163"/>
      <c r="D192" s="163"/>
      <c r="E192" s="30">
        <v>0.32</v>
      </c>
      <c r="F192" s="100" t="s">
        <v>11</v>
      </c>
      <c r="G192" s="32">
        <v>2188.52</v>
      </c>
      <c r="H192" s="19">
        <f>E192*G192</f>
        <v>700.32640000000004</v>
      </c>
      <c r="I192" s="57">
        <v>0.27</v>
      </c>
      <c r="J192" s="19">
        <f t="shared" si="32"/>
        <v>889.41452800000002</v>
      </c>
      <c r="K192" s="37" t="str">
        <f>K186</f>
        <v>SINAPI - 93358</v>
      </c>
      <c r="L192" s="25"/>
      <c r="M192" s="25"/>
      <c r="N192" s="25"/>
      <c r="O192" s="25"/>
    </row>
    <row r="193" spans="1:15" s="13" customFormat="1">
      <c r="A193" s="33">
        <v>8</v>
      </c>
      <c r="B193" s="163" t="s">
        <v>95</v>
      </c>
      <c r="C193" s="163"/>
      <c r="D193" s="163"/>
      <c r="E193" s="30">
        <v>0.55000000000000004</v>
      </c>
      <c r="F193" s="100" t="s">
        <v>11</v>
      </c>
      <c r="G193" s="32">
        <v>2188.52</v>
      </c>
      <c r="H193" s="19">
        <f>E193*G193</f>
        <v>1203.6860000000001</v>
      </c>
      <c r="I193" s="57">
        <v>0.27</v>
      </c>
      <c r="J193" s="19">
        <f t="shared" si="32"/>
        <v>1528.6812200000002</v>
      </c>
      <c r="K193" s="37" t="str">
        <f>K186</f>
        <v>SINAPI - 93358</v>
      </c>
      <c r="L193" s="25"/>
      <c r="M193" s="25"/>
      <c r="N193" s="25"/>
      <c r="O193" s="25"/>
    </row>
    <row r="194" spans="1:15" s="13" customFormat="1">
      <c r="A194" s="51">
        <v>9</v>
      </c>
      <c r="B194" s="161" t="s">
        <v>276</v>
      </c>
      <c r="C194" s="161"/>
      <c r="D194" s="161"/>
      <c r="E194" s="30">
        <v>0.18</v>
      </c>
      <c r="F194" s="100" t="s">
        <v>11</v>
      </c>
      <c r="G194" s="32">
        <v>2699.35</v>
      </c>
      <c r="H194" s="32">
        <f>E194*G194</f>
        <v>485.88299999999998</v>
      </c>
      <c r="I194" s="113">
        <v>0.27</v>
      </c>
      <c r="J194" s="32">
        <f>(H194*0.27+H194)</f>
        <v>617.07141000000001</v>
      </c>
      <c r="K194" s="79" t="s">
        <v>277</v>
      </c>
      <c r="L194" s="25"/>
      <c r="M194" s="25"/>
      <c r="N194" s="25"/>
      <c r="O194" s="25"/>
    </row>
    <row r="195" spans="1:15" s="13" customFormat="1" ht="16.5" customHeight="1">
      <c r="A195" s="51">
        <v>10</v>
      </c>
      <c r="B195" s="160" t="s">
        <v>278</v>
      </c>
      <c r="C195" s="160"/>
      <c r="D195" s="160"/>
      <c r="E195" s="30">
        <v>2.2200000000000002</v>
      </c>
      <c r="F195" s="100" t="s">
        <v>10</v>
      </c>
      <c r="G195" s="32">
        <v>107.51</v>
      </c>
      <c r="H195" s="32">
        <f>E195*G195</f>
        <v>238.67220000000003</v>
      </c>
      <c r="I195" s="113">
        <v>0.27</v>
      </c>
      <c r="J195" s="32">
        <f>(H195*0.27+H195)</f>
        <v>303.11369400000001</v>
      </c>
      <c r="K195" s="79" t="s">
        <v>279</v>
      </c>
      <c r="L195" s="25"/>
      <c r="M195" s="25"/>
      <c r="N195" s="25"/>
      <c r="O195" s="25"/>
    </row>
    <row r="196" spans="1:15" s="6" customFormat="1">
      <c r="A196" s="33">
        <v>11</v>
      </c>
      <c r="B196" s="162" t="s">
        <v>76</v>
      </c>
      <c r="C196" s="162"/>
      <c r="D196" s="162"/>
      <c r="E196" s="30">
        <v>6</v>
      </c>
      <c r="F196" s="100" t="s">
        <v>10</v>
      </c>
      <c r="G196" s="32">
        <v>98.07</v>
      </c>
      <c r="H196" s="19">
        <f>E196*G196</f>
        <v>588.41999999999996</v>
      </c>
      <c r="I196" s="57">
        <v>0.27</v>
      </c>
      <c r="J196" s="19">
        <f t="shared" ref="J196:J202" si="33">(H196*0.27)+H196</f>
        <v>747.29340000000002</v>
      </c>
      <c r="K196" s="37" t="s">
        <v>302</v>
      </c>
      <c r="L196" s="27"/>
      <c r="M196" s="27"/>
      <c r="N196" s="27"/>
      <c r="O196" s="27"/>
    </row>
    <row r="197" spans="1:15" s="6" customFormat="1" ht="15.75" customHeight="1">
      <c r="A197" s="51">
        <v>12</v>
      </c>
      <c r="B197" s="161" t="s">
        <v>156</v>
      </c>
      <c r="C197" s="161"/>
      <c r="D197" s="161"/>
      <c r="E197" s="30">
        <v>20</v>
      </c>
      <c r="F197" s="100" t="s">
        <v>10</v>
      </c>
      <c r="G197" s="120">
        <v>4.37</v>
      </c>
      <c r="H197" s="32">
        <f>(G197*E197)</f>
        <v>87.4</v>
      </c>
      <c r="I197" s="57">
        <v>0.27</v>
      </c>
      <c r="J197" s="19">
        <f t="shared" si="33"/>
        <v>110.998</v>
      </c>
      <c r="K197" s="98" t="s">
        <v>96</v>
      </c>
      <c r="L197" s="27"/>
      <c r="M197" s="27"/>
      <c r="N197" s="27"/>
      <c r="O197" s="27"/>
    </row>
    <row r="198" spans="1:15" s="35" customFormat="1" ht="16.5" customHeight="1">
      <c r="A198" s="51">
        <v>13</v>
      </c>
      <c r="B198" s="161" t="s">
        <v>53</v>
      </c>
      <c r="C198" s="161"/>
      <c r="D198" s="161"/>
      <c r="E198" s="30">
        <v>20</v>
      </c>
      <c r="F198" s="100" t="s">
        <v>10</v>
      </c>
      <c r="G198" s="32">
        <v>26.78</v>
      </c>
      <c r="H198" s="19">
        <f>E198*G198</f>
        <v>535.6</v>
      </c>
      <c r="I198" s="57">
        <v>0.27</v>
      </c>
      <c r="J198" s="19">
        <f t="shared" si="33"/>
        <v>680.21199999999999</v>
      </c>
      <c r="K198" s="98" t="s">
        <v>157</v>
      </c>
      <c r="L198" s="25"/>
      <c r="M198" s="25"/>
      <c r="N198" s="24"/>
      <c r="O198" s="24"/>
    </row>
    <row r="199" spans="1:15" ht="17.25" customHeight="1">
      <c r="A199" s="51">
        <v>14</v>
      </c>
      <c r="B199" s="163" t="s">
        <v>177</v>
      </c>
      <c r="C199" s="163"/>
      <c r="D199" s="163"/>
      <c r="E199" s="149">
        <v>20</v>
      </c>
      <c r="F199" s="150" t="s">
        <v>10</v>
      </c>
      <c r="G199" s="148">
        <v>11.57</v>
      </c>
      <c r="H199" s="19">
        <f>G199*E199</f>
        <v>231.4</v>
      </c>
      <c r="I199" s="57">
        <v>0.27</v>
      </c>
      <c r="J199" s="19">
        <f t="shared" si="33"/>
        <v>293.87800000000004</v>
      </c>
      <c r="K199" s="33" t="s">
        <v>158</v>
      </c>
    </row>
    <row r="200" spans="1:15" s="35" customFormat="1" ht="18" customHeight="1">
      <c r="A200" s="51">
        <v>15</v>
      </c>
      <c r="B200" s="162" t="s">
        <v>178</v>
      </c>
      <c r="C200" s="162"/>
      <c r="D200" s="162"/>
      <c r="E200" s="149">
        <v>20</v>
      </c>
      <c r="F200" s="150" t="s">
        <v>10</v>
      </c>
      <c r="G200" s="148">
        <v>3.01</v>
      </c>
      <c r="H200" s="10">
        <f>G200*E200</f>
        <v>60.199999999999996</v>
      </c>
      <c r="I200" s="113">
        <v>0.27</v>
      </c>
      <c r="J200" s="19">
        <f t="shared" si="33"/>
        <v>76.453999999999994</v>
      </c>
      <c r="K200" s="33" t="s">
        <v>126</v>
      </c>
      <c r="L200" s="36"/>
      <c r="M200" s="24"/>
      <c r="N200" s="24"/>
      <c r="O200" s="24"/>
    </row>
    <row r="201" spans="1:15" s="35" customFormat="1" ht="15" customHeight="1">
      <c r="A201" s="33">
        <v>16</v>
      </c>
      <c r="B201" s="162" t="s">
        <v>280</v>
      </c>
      <c r="C201" s="162"/>
      <c r="D201" s="162"/>
      <c r="E201" s="30">
        <v>2.1</v>
      </c>
      <c r="F201" s="100" t="s">
        <v>10</v>
      </c>
      <c r="G201" s="120">
        <v>612.07000000000005</v>
      </c>
      <c r="H201" s="32">
        <f>(G201*E201)</f>
        <v>1285.3470000000002</v>
      </c>
      <c r="I201" s="113">
        <v>0.27</v>
      </c>
      <c r="J201" s="32">
        <f t="shared" si="33"/>
        <v>1632.3906900000002</v>
      </c>
      <c r="K201" s="111" t="s">
        <v>303</v>
      </c>
      <c r="L201" s="114"/>
      <c r="M201" s="24"/>
      <c r="N201" s="24"/>
      <c r="O201" s="24"/>
    </row>
    <row r="202" spans="1:15" s="98" customFormat="1" ht="15.75" customHeight="1">
      <c r="A202" s="51">
        <v>17</v>
      </c>
      <c r="B202" s="163" t="s">
        <v>282</v>
      </c>
      <c r="C202" s="163"/>
      <c r="D202" s="163"/>
      <c r="E202" s="149">
        <v>1</v>
      </c>
      <c r="F202" s="150" t="s">
        <v>281</v>
      </c>
      <c r="G202" s="148">
        <v>168.54</v>
      </c>
      <c r="H202" s="19">
        <f>G202*E202</f>
        <v>168.54</v>
      </c>
      <c r="I202" s="57">
        <v>0.27</v>
      </c>
      <c r="J202" s="19">
        <f t="shared" si="33"/>
        <v>214.04579999999999</v>
      </c>
      <c r="K202" s="146" t="s">
        <v>289</v>
      </c>
      <c r="L202" s="117"/>
      <c r="M202" s="48"/>
      <c r="N202" s="48"/>
      <c r="O202" s="48"/>
    </row>
    <row r="203" spans="1:15" s="35" customFormat="1" ht="18" customHeight="1">
      <c r="A203" s="41"/>
      <c r="B203" s="171" t="s">
        <v>194</v>
      </c>
      <c r="C203" s="171"/>
      <c r="D203" s="171"/>
      <c r="E203" s="42"/>
      <c r="F203" s="147"/>
      <c r="G203" s="43"/>
      <c r="H203" s="34">
        <f>SUM(H186:H202)</f>
        <v>11430.0416</v>
      </c>
      <c r="I203" s="57"/>
      <c r="J203" s="58">
        <f>SUM(J186:J202)</f>
        <v>14516.152832</v>
      </c>
      <c r="K203" s="26"/>
      <c r="L203" s="36"/>
      <c r="M203" s="24"/>
      <c r="N203" s="24"/>
      <c r="O203" s="24"/>
    </row>
    <row r="204" spans="1:15" s="6" customFormat="1">
      <c r="A204" s="41"/>
      <c r="B204" s="121"/>
      <c r="C204" s="121"/>
      <c r="D204" s="121"/>
      <c r="E204" s="42"/>
      <c r="F204" s="147"/>
      <c r="G204" s="43"/>
      <c r="H204" s="34"/>
      <c r="I204" s="57"/>
      <c r="J204" s="58"/>
      <c r="K204" s="26"/>
      <c r="L204" s="27"/>
      <c r="M204" s="27"/>
      <c r="N204" s="27"/>
      <c r="O204" s="27"/>
    </row>
    <row r="205" spans="1:15" s="6" customFormat="1">
      <c r="A205" s="33"/>
      <c r="B205" s="121"/>
      <c r="C205" s="121"/>
      <c r="D205" s="121"/>
      <c r="E205" s="100"/>
      <c r="F205" s="100"/>
      <c r="G205" s="87"/>
      <c r="H205" s="34"/>
      <c r="I205" s="10"/>
      <c r="J205" s="34"/>
      <c r="K205" s="37"/>
      <c r="L205" s="27"/>
      <c r="M205" s="27"/>
      <c r="N205" s="27"/>
      <c r="O205" s="27"/>
    </row>
    <row r="206" spans="1:15">
      <c r="A206" s="166" t="s">
        <v>197</v>
      </c>
      <c r="B206" s="166"/>
      <c r="C206" s="166"/>
      <c r="D206" s="166"/>
      <c r="E206" s="100"/>
      <c r="F206" s="100"/>
      <c r="G206" s="122"/>
      <c r="H206" s="34"/>
      <c r="I206" s="10"/>
      <c r="J206" s="34"/>
      <c r="K206" s="79"/>
    </row>
    <row r="207" spans="1:15">
      <c r="A207" s="51">
        <v>1</v>
      </c>
      <c r="B207" s="160" t="s">
        <v>160</v>
      </c>
      <c r="C207" s="167"/>
      <c r="D207" s="167"/>
      <c r="E207" s="30">
        <v>13.8</v>
      </c>
      <c r="F207" s="100" t="s">
        <v>10</v>
      </c>
      <c r="G207" s="32">
        <v>2.2400000000000002</v>
      </c>
      <c r="H207" s="10">
        <f>E207*G207</f>
        <v>30.912000000000006</v>
      </c>
      <c r="I207" s="113">
        <v>0.27</v>
      </c>
      <c r="J207" s="10">
        <f>(H207*0.27)+H207</f>
        <v>39.258240000000008</v>
      </c>
      <c r="K207" s="79" t="s">
        <v>162</v>
      </c>
    </row>
    <row r="208" spans="1:15" s="13" customFormat="1" ht="27.75" customHeight="1">
      <c r="A208" s="51">
        <v>2</v>
      </c>
      <c r="B208" s="224" t="s">
        <v>161</v>
      </c>
      <c r="C208" s="224"/>
      <c r="D208" s="224"/>
      <c r="E208" s="30">
        <v>11.84</v>
      </c>
      <c r="F208" s="100" t="s">
        <v>10</v>
      </c>
      <c r="G208" s="32">
        <v>69.63</v>
      </c>
      <c r="H208" s="32">
        <f>E208*G208</f>
        <v>824.41919999999993</v>
      </c>
      <c r="I208" s="113">
        <v>0.27</v>
      </c>
      <c r="J208" s="10">
        <f t="shared" ref="J208:J210" si="34">(H208*0.27)+H208</f>
        <v>1047.0123839999999</v>
      </c>
      <c r="K208" s="79" t="s">
        <v>304</v>
      </c>
      <c r="L208" s="25"/>
      <c r="M208" s="25"/>
      <c r="N208" s="25"/>
      <c r="O208" s="25"/>
    </row>
    <row r="209" spans="1:15" s="13" customFormat="1" ht="28.5" customHeight="1">
      <c r="A209" s="51">
        <v>3</v>
      </c>
      <c r="B209" s="224" t="s">
        <v>268</v>
      </c>
      <c r="C209" s="224"/>
      <c r="D209" s="224"/>
      <c r="E209" s="30">
        <v>1.96</v>
      </c>
      <c r="F209" s="100" t="s">
        <v>10</v>
      </c>
      <c r="G209" s="32">
        <v>85.62</v>
      </c>
      <c r="H209" s="32">
        <f>E209*G209</f>
        <v>167.8152</v>
      </c>
      <c r="I209" s="113">
        <v>0.27</v>
      </c>
      <c r="J209" s="10">
        <f t="shared" si="34"/>
        <v>213.125304</v>
      </c>
      <c r="K209" s="79" t="s">
        <v>28</v>
      </c>
      <c r="L209" s="117"/>
      <c r="M209" s="117"/>
      <c r="N209" s="117"/>
      <c r="O209" s="117"/>
    </row>
    <row r="210" spans="1:15" s="13" customFormat="1" ht="24.75" customHeight="1">
      <c r="A210" s="51">
        <v>4</v>
      </c>
      <c r="B210" s="160" t="s">
        <v>270</v>
      </c>
      <c r="C210" s="160"/>
      <c r="D210" s="160"/>
      <c r="E210" s="30">
        <v>9</v>
      </c>
      <c r="F210" s="100" t="s">
        <v>48</v>
      </c>
      <c r="G210" s="32">
        <v>50.91</v>
      </c>
      <c r="H210" s="32">
        <f>E210*G210</f>
        <v>458.18999999999994</v>
      </c>
      <c r="I210" s="113">
        <v>0.27</v>
      </c>
      <c r="J210" s="10">
        <f t="shared" si="34"/>
        <v>581.90129999999999</v>
      </c>
      <c r="K210" s="111" t="s">
        <v>189</v>
      </c>
      <c r="L210" s="117"/>
      <c r="M210" s="117"/>
      <c r="N210" s="117"/>
      <c r="O210" s="117"/>
    </row>
    <row r="211" spans="1:15" s="13" customFormat="1" ht="24.75" customHeight="1">
      <c r="A211" s="51"/>
      <c r="B211" s="121"/>
      <c r="C211" s="121"/>
      <c r="D211" s="121" t="s">
        <v>198</v>
      </c>
      <c r="E211" s="100"/>
      <c r="F211" s="100"/>
      <c r="G211" s="122"/>
      <c r="H211" s="47">
        <f>SUM(H207:H210)</f>
        <v>1481.3363999999999</v>
      </c>
      <c r="I211" s="32"/>
      <c r="J211" s="47">
        <f>SUM(J207:J210)</f>
        <v>1881.2972279999999</v>
      </c>
      <c r="K211" s="79"/>
      <c r="L211" s="117"/>
      <c r="M211" s="117"/>
      <c r="N211" s="117"/>
      <c r="O211" s="117"/>
    </row>
    <row r="212" spans="1:15">
      <c r="A212" s="33"/>
      <c r="B212" s="121"/>
      <c r="C212" s="121"/>
      <c r="D212" s="121"/>
      <c r="E212" s="100"/>
      <c r="F212" s="100"/>
      <c r="G212" s="87"/>
      <c r="H212" s="34"/>
      <c r="I212" s="10"/>
      <c r="J212" s="34"/>
      <c r="K212" s="37"/>
    </row>
    <row r="213" spans="1:15">
      <c r="A213" s="166" t="s">
        <v>195</v>
      </c>
      <c r="B213" s="166"/>
      <c r="C213" s="166"/>
      <c r="D213" s="166"/>
      <c r="E213" s="100"/>
      <c r="F213" s="100"/>
      <c r="G213" s="122"/>
      <c r="H213" s="34"/>
      <c r="I213" s="10"/>
      <c r="J213" s="34"/>
      <c r="K213" s="79"/>
    </row>
    <row r="214" spans="1:15">
      <c r="A214" s="51">
        <v>1</v>
      </c>
      <c r="B214" s="160" t="s">
        <v>160</v>
      </c>
      <c r="C214" s="167"/>
      <c r="D214" s="167"/>
      <c r="E214" s="30">
        <v>4</v>
      </c>
      <c r="F214" s="100" t="s">
        <v>11</v>
      </c>
      <c r="G214" s="32">
        <v>2.2400000000000002</v>
      </c>
      <c r="H214" s="10">
        <f>E214*G214</f>
        <v>8.9600000000000009</v>
      </c>
      <c r="I214" s="113">
        <v>0.27</v>
      </c>
      <c r="J214" s="10">
        <f>(H214*0.27)+H214</f>
        <v>11.379200000000001</v>
      </c>
      <c r="K214" s="79" t="s">
        <v>162</v>
      </c>
    </row>
    <row r="215" spans="1:15" s="13" customFormat="1" ht="27.75" customHeight="1">
      <c r="A215" s="51">
        <v>2</v>
      </c>
      <c r="B215" s="224" t="s">
        <v>266</v>
      </c>
      <c r="C215" s="224"/>
      <c r="D215" s="224"/>
      <c r="E215" s="30">
        <v>20</v>
      </c>
      <c r="F215" s="100" t="s">
        <v>10</v>
      </c>
      <c r="G215" s="32">
        <v>86.71</v>
      </c>
      <c r="H215" s="32">
        <f>E215*G215</f>
        <v>1734.1999999999998</v>
      </c>
      <c r="I215" s="113">
        <v>0.27</v>
      </c>
      <c r="J215" s="32">
        <f>(H215*0.27)+H215</f>
        <v>2202.4339999999997</v>
      </c>
      <c r="K215" s="111" t="s">
        <v>267</v>
      </c>
      <c r="L215" s="25"/>
      <c r="M215" s="25"/>
      <c r="N215" s="25"/>
      <c r="O215" s="25"/>
    </row>
    <row r="216" spans="1:15" s="13" customFormat="1" ht="26.25" customHeight="1">
      <c r="A216" s="51"/>
      <c r="B216" s="121"/>
      <c r="C216" s="121"/>
      <c r="D216" s="121" t="s">
        <v>196</v>
      </c>
      <c r="E216" s="8"/>
      <c r="F216" s="100"/>
      <c r="G216" s="122" t="s">
        <v>19</v>
      </c>
      <c r="H216" s="47">
        <f>SUM(H214:H215)</f>
        <v>1743.1599999999999</v>
      </c>
      <c r="I216" s="32"/>
      <c r="J216" s="47">
        <f>SUM(J214:J215)</f>
        <v>2213.8131999999996</v>
      </c>
      <c r="K216" s="79"/>
      <c r="L216" s="117"/>
      <c r="M216" s="117"/>
      <c r="N216" s="117"/>
      <c r="O216" s="117"/>
    </row>
    <row r="217" spans="1:15">
      <c r="A217" s="51"/>
      <c r="B217" s="121"/>
      <c r="C217" s="121"/>
      <c r="D217" s="121"/>
      <c r="E217" s="8"/>
      <c r="F217" s="100"/>
      <c r="G217" s="122"/>
      <c r="H217" s="47"/>
      <c r="I217" s="32"/>
      <c r="J217" s="47"/>
      <c r="K217" s="79"/>
    </row>
    <row r="219" spans="1:15">
      <c r="B219" s="158" t="s">
        <v>306</v>
      </c>
      <c r="C219" s="158"/>
      <c r="D219" s="158"/>
      <c r="E219" s="158"/>
      <c r="F219" s="126"/>
      <c r="G219" s="126"/>
      <c r="H219" s="134"/>
      <c r="I219" s="135"/>
      <c r="J219" s="136">
        <f>SUM(J216,J211,J203,J183,J175,J157,)</f>
        <v>97147.002175000001</v>
      </c>
      <c r="K219" s="156"/>
      <c r="L219" s="157"/>
    </row>
    <row r="220" spans="1:15">
      <c r="B220" s="170"/>
      <c r="C220" s="170"/>
      <c r="D220" s="170"/>
      <c r="E220" s="154"/>
      <c r="F220" s="154"/>
      <c r="G220" s="154"/>
      <c r="H220" s="155"/>
      <c r="I220" s="155"/>
      <c r="J220" s="155"/>
      <c r="K220" s="39"/>
    </row>
    <row r="221" spans="1:15">
      <c r="B221" s="159" t="s">
        <v>69</v>
      </c>
      <c r="C221" s="159"/>
      <c r="D221" s="159"/>
      <c r="E221" s="95"/>
      <c r="F221" s="95"/>
      <c r="G221" s="95"/>
      <c r="H221" s="96"/>
      <c r="I221" s="97"/>
      <c r="J221" s="96">
        <f>J219+J138</f>
        <v>256344.90270599999</v>
      </c>
    </row>
    <row r="222" spans="1:15">
      <c r="B222" s="33"/>
      <c r="C222" s="33"/>
      <c r="D222" s="33"/>
    </row>
    <row r="223" spans="1:15">
      <c r="A223" s="189" t="s">
        <v>307</v>
      </c>
      <c r="B223" s="189"/>
      <c r="C223" s="189"/>
      <c r="D223" s="189"/>
      <c r="E223" s="189"/>
      <c r="F223" s="189"/>
      <c r="G223" s="189"/>
      <c r="H223" s="189"/>
      <c r="I223" s="189"/>
      <c r="J223" s="189"/>
      <c r="K223" s="74"/>
    </row>
    <row r="224" spans="1:15">
      <c r="A224" s="190" t="s">
        <v>308</v>
      </c>
      <c r="B224" s="190"/>
      <c r="C224" s="190"/>
      <c r="D224" s="190"/>
      <c r="E224" s="190"/>
      <c r="F224" s="190"/>
      <c r="G224" s="190"/>
      <c r="H224" s="190"/>
      <c r="I224" s="190"/>
      <c r="J224" s="190"/>
      <c r="K224" s="74"/>
    </row>
    <row r="225" spans="1:10">
      <c r="A225" s="189"/>
      <c r="B225" s="189"/>
      <c r="C225" s="189"/>
      <c r="D225" s="189"/>
      <c r="E225" s="189"/>
      <c r="F225" s="189"/>
      <c r="G225" s="189"/>
      <c r="H225" s="189"/>
      <c r="I225" s="189"/>
      <c r="J225" s="189"/>
    </row>
    <row r="226" spans="1:10">
      <c r="A226" s="189"/>
      <c r="B226" s="189"/>
      <c r="C226" s="189"/>
      <c r="D226" s="189"/>
      <c r="E226" s="189"/>
      <c r="F226" s="189"/>
      <c r="G226" s="189"/>
      <c r="H226" s="189"/>
      <c r="I226" s="189"/>
      <c r="J226" s="189"/>
    </row>
    <row r="227" spans="1:10">
      <c r="H227" s="94"/>
    </row>
  </sheetData>
  <mergeCells count="229">
    <mergeCell ref="A225:J225"/>
    <mergeCell ref="A226:J226"/>
    <mergeCell ref="B40:D40"/>
    <mergeCell ref="B54:D54"/>
    <mergeCell ref="A21:D21"/>
    <mergeCell ref="B22:D22"/>
    <mergeCell ref="B23:D23"/>
    <mergeCell ref="B24:D24"/>
    <mergeCell ref="B86:D86"/>
    <mergeCell ref="B91:D91"/>
    <mergeCell ref="B94:D94"/>
    <mergeCell ref="B108:D108"/>
    <mergeCell ref="B153:D153"/>
    <mergeCell ref="A142:D142"/>
    <mergeCell ref="B151:D151"/>
    <mergeCell ref="B170:D170"/>
    <mergeCell ref="B171:D171"/>
    <mergeCell ref="B172:D172"/>
    <mergeCell ref="B173:D173"/>
    <mergeCell ref="B174:D174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90:D90"/>
    <mergeCell ref="B64:D64"/>
    <mergeCell ref="B65:D65"/>
    <mergeCell ref="A138:D138"/>
    <mergeCell ref="B202:D202"/>
    <mergeCell ref="A213:D213"/>
    <mergeCell ref="B214:D214"/>
    <mergeCell ref="B203:D203"/>
    <mergeCell ref="B215:D215"/>
    <mergeCell ref="B194:D194"/>
    <mergeCell ref="A140:D140"/>
    <mergeCell ref="A185:D185"/>
    <mergeCell ref="B196:D196"/>
    <mergeCell ref="B155:D155"/>
    <mergeCell ref="B156:D156"/>
    <mergeCell ref="B152:D152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L35:N35"/>
    <mergeCell ref="B39:D39"/>
    <mergeCell ref="B50:D50"/>
    <mergeCell ref="A73:D73"/>
    <mergeCell ref="A80:D80"/>
    <mergeCell ref="B79:D79"/>
    <mergeCell ref="B75:D75"/>
    <mergeCell ref="B72:D72"/>
    <mergeCell ref="B68:D68"/>
    <mergeCell ref="B61:D61"/>
    <mergeCell ref="B77:D77"/>
    <mergeCell ref="B78:D78"/>
    <mergeCell ref="B59:D59"/>
    <mergeCell ref="A58:D58"/>
    <mergeCell ref="B66:D66"/>
    <mergeCell ref="B60:D60"/>
    <mergeCell ref="B70:D70"/>
    <mergeCell ref="B71:D71"/>
    <mergeCell ref="B74:D74"/>
    <mergeCell ref="B69:D69"/>
    <mergeCell ref="B62:D62"/>
    <mergeCell ref="B63:D63"/>
    <mergeCell ref="B56:D56"/>
    <mergeCell ref="B55:D55"/>
    <mergeCell ref="A223:J223"/>
    <mergeCell ref="A224:J224"/>
    <mergeCell ref="B83:D83"/>
    <mergeCell ref="B84:D84"/>
    <mergeCell ref="B87:D87"/>
    <mergeCell ref="A83:A84"/>
    <mergeCell ref="E83:E84"/>
    <mergeCell ref="F83:F84"/>
    <mergeCell ref="G83:G84"/>
    <mergeCell ref="H83:H84"/>
    <mergeCell ref="I83:I84"/>
    <mergeCell ref="J83:J84"/>
    <mergeCell ref="B131:D131"/>
    <mergeCell ref="B130:D130"/>
    <mergeCell ref="B98:D98"/>
    <mergeCell ref="A99:D99"/>
    <mergeCell ref="B110:D110"/>
    <mergeCell ref="B128:D128"/>
    <mergeCell ref="B129:D129"/>
    <mergeCell ref="B103:D103"/>
    <mergeCell ref="B97:D97"/>
    <mergeCell ref="B96:D96"/>
    <mergeCell ref="B95:D95"/>
    <mergeCell ref="B122:D122"/>
    <mergeCell ref="K83:K84"/>
    <mergeCell ref="B76:D76"/>
    <mergeCell ref="B81:D81"/>
    <mergeCell ref="B82:D82"/>
    <mergeCell ref="E81:E82"/>
    <mergeCell ref="F81:F82"/>
    <mergeCell ref="G81:G82"/>
    <mergeCell ref="H81:H82"/>
    <mergeCell ref="I81:I82"/>
    <mergeCell ref="J81:J82"/>
    <mergeCell ref="B2:C5"/>
    <mergeCell ref="B6:D6"/>
    <mergeCell ref="A7:B7"/>
    <mergeCell ref="A8:B8"/>
    <mergeCell ref="C8:D8"/>
    <mergeCell ref="C7:G7"/>
    <mergeCell ref="A13:D13"/>
    <mergeCell ref="C9:D9"/>
    <mergeCell ref="A15:D15"/>
    <mergeCell ref="A9:B9"/>
    <mergeCell ref="A10:B10"/>
    <mergeCell ref="B12:D12"/>
    <mergeCell ref="B16:D16"/>
    <mergeCell ref="G17:G18"/>
    <mergeCell ref="A11:J11"/>
    <mergeCell ref="B17:D17"/>
    <mergeCell ref="B18:D18"/>
    <mergeCell ref="A17:A18"/>
    <mergeCell ref="E17:E18"/>
    <mergeCell ref="K17:K18"/>
    <mergeCell ref="F17:F18"/>
    <mergeCell ref="H17:H18"/>
    <mergeCell ref="I17:I18"/>
    <mergeCell ref="J17:J18"/>
    <mergeCell ref="D19:F19"/>
    <mergeCell ref="B34:D34"/>
    <mergeCell ref="B32:D32"/>
    <mergeCell ref="A33:D33"/>
    <mergeCell ref="A26:D26"/>
    <mergeCell ref="B31:D31"/>
    <mergeCell ref="B27:D27"/>
    <mergeCell ref="B135:D135"/>
    <mergeCell ref="B136:D136"/>
    <mergeCell ref="B119:D119"/>
    <mergeCell ref="B120:D120"/>
    <mergeCell ref="B121:D121"/>
    <mergeCell ref="B123:D123"/>
    <mergeCell ref="B106:D106"/>
    <mergeCell ref="B109:D109"/>
    <mergeCell ref="B114:D114"/>
    <mergeCell ref="B116:D116"/>
    <mergeCell ref="B107:D107"/>
    <mergeCell ref="B115:D115"/>
    <mergeCell ref="B30:D30"/>
    <mergeCell ref="A67:D67"/>
    <mergeCell ref="B37:D37"/>
    <mergeCell ref="B38:D38"/>
    <mergeCell ref="B28:D28"/>
    <mergeCell ref="A134:D134"/>
    <mergeCell ref="B35:D35"/>
    <mergeCell ref="A47:D47"/>
    <mergeCell ref="B29:D29"/>
    <mergeCell ref="B48:D48"/>
    <mergeCell ref="B57:D57"/>
    <mergeCell ref="B36:D36"/>
    <mergeCell ref="B53:D53"/>
    <mergeCell ref="A43:D43"/>
    <mergeCell ref="B44:D44"/>
    <mergeCell ref="B45:D45"/>
    <mergeCell ref="B52:D52"/>
    <mergeCell ref="B46:D46"/>
    <mergeCell ref="B118:D118"/>
    <mergeCell ref="B111:D111"/>
    <mergeCell ref="B113:D113"/>
    <mergeCell ref="B112:D112"/>
    <mergeCell ref="B100:D100"/>
    <mergeCell ref="B49:D49"/>
    <mergeCell ref="B42:D42"/>
    <mergeCell ref="B104:D104"/>
    <mergeCell ref="A126:D126"/>
    <mergeCell ref="B124:D124"/>
    <mergeCell ref="B117:D117"/>
    <mergeCell ref="O35:Q35"/>
    <mergeCell ref="L36:N36"/>
    <mergeCell ref="B51:D51"/>
    <mergeCell ref="A177:D177"/>
    <mergeCell ref="B178:D178"/>
    <mergeCell ref="B179:D179"/>
    <mergeCell ref="B180:D180"/>
    <mergeCell ref="B181:D181"/>
    <mergeCell ref="B208:D208"/>
    <mergeCell ref="A160:D160"/>
    <mergeCell ref="A206:D206"/>
    <mergeCell ref="B207:D207"/>
    <mergeCell ref="B127:D127"/>
    <mergeCell ref="B41:D41"/>
    <mergeCell ref="A105:D105"/>
    <mergeCell ref="B101:D101"/>
    <mergeCell ref="B102:D102"/>
    <mergeCell ref="A81:A82"/>
    <mergeCell ref="K81:K82"/>
    <mergeCell ref="B85:D85"/>
    <mergeCell ref="B88:D88"/>
    <mergeCell ref="B89:D89"/>
    <mergeCell ref="B92:D92"/>
    <mergeCell ref="B93:D93"/>
    <mergeCell ref="B219:E219"/>
    <mergeCell ref="B221:D221"/>
    <mergeCell ref="B169:D169"/>
    <mergeCell ref="B154:D154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220:D220"/>
    <mergeCell ref="B182:D182"/>
    <mergeCell ref="B183:D183"/>
    <mergeCell ref="B209:D209"/>
    <mergeCell ref="B210:D210"/>
    <mergeCell ref="B195:D195"/>
    <mergeCell ref="B197:D197"/>
    <mergeCell ref="B198:D198"/>
    <mergeCell ref="B199:D199"/>
    <mergeCell ref="B200:D200"/>
    <mergeCell ref="B201:D201"/>
  </mergeCells>
  <phoneticPr fontId="25" type="noConversion"/>
  <pageMargins left="0.19685039370078741" right="0.19685039370078741" top="0.19685039370078741" bottom="0.19685039370078741" header="0.19685039370078741" footer="0.19685039370078741"/>
  <pageSetup paperSize="9" scale="61" fitToHeight="0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topLeftCell="B1" workbookViewId="0">
      <selection activeCell="B16" sqref="B16:C16"/>
    </sheetView>
  </sheetViews>
  <sheetFormatPr defaultRowHeight="15"/>
  <cols>
    <col min="1" max="1" width="0.140625" customWidth="1"/>
    <col min="2" max="2" width="9.140625" customWidth="1"/>
    <col min="3" max="3" width="25.140625" customWidth="1"/>
    <col min="4" max="4" width="14.28515625" customWidth="1"/>
    <col min="5" max="5" width="4.85546875" style="9" customWidth="1"/>
    <col min="6" max="6" width="11.42578125" style="9" customWidth="1"/>
    <col min="7" max="7" width="6.5703125" style="228" customWidth="1"/>
    <col min="8" max="8" width="11.42578125" style="9" customWidth="1"/>
    <col min="9" max="9" width="6.42578125" style="9" customWidth="1"/>
    <col min="10" max="10" width="11.42578125" style="9" customWidth="1"/>
    <col min="11" max="11" width="7.42578125" style="9" customWidth="1"/>
    <col min="12" max="12" width="11.42578125" style="9" customWidth="1"/>
    <col min="13" max="13" width="6.85546875" style="9" customWidth="1"/>
    <col min="14" max="14" width="11.42578125" style="9" customWidth="1"/>
    <col min="15" max="15" width="6.5703125" style="9" customWidth="1"/>
    <col min="16" max="16" width="11.42578125" style="9" customWidth="1"/>
    <col min="17" max="17" width="5.7109375" customWidth="1"/>
    <col min="18" max="18" width="13.140625" customWidth="1"/>
  </cols>
  <sheetData>
    <row r="1" spans="1:18" ht="6" customHeight="1"/>
    <row r="2" spans="1:18">
      <c r="B2" s="207"/>
      <c r="C2" s="207"/>
    </row>
    <row r="3" spans="1:18" ht="18">
      <c r="B3" s="207"/>
      <c r="C3" s="207"/>
      <c r="D3" s="3" t="s">
        <v>5</v>
      </c>
      <c r="E3" s="7"/>
      <c r="F3" s="7"/>
      <c r="G3" s="229"/>
      <c r="H3" s="7"/>
      <c r="I3" s="7"/>
      <c r="J3" s="7"/>
      <c r="K3" s="7"/>
      <c r="L3" s="7"/>
      <c r="M3" s="7"/>
      <c r="N3" s="7"/>
      <c r="O3" s="7"/>
      <c r="P3" s="7"/>
    </row>
    <row r="4" spans="1:18" ht="16.5">
      <c r="B4" s="207"/>
      <c r="C4" s="207"/>
      <c r="D4" s="1" t="s">
        <v>4</v>
      </c>
    </row>
    <row r="5" spans="1:18">
      <c r="B5" s="207"/>
      <c r="C5" s="207"/>
    </row>
    <row r="6" spans="1:18" ht="9.75" customHeight="1" thickBot="1">
      <c r="B6" s="208"/>
      <c r="C6" s="208"/>
      <c r="D6" s="208"/>
      <c r="E6" s="5"/>
      <c r="F6" s="5"/>
      <c r="G6" s="230"/>
      <c r="H6" s="5"/>
      <c r="I6" s="5"/>
      <c r="J6" s="5"/>
      <c r="K6" s="5"/>
      <c r="L6" s="5"/>
      <c r="M6" s="5"/>
      <c r="N6" s="5"/>
      <c r="O6" s="5"/>
      <c r="P6" s="5"/>
      <c r="Q6" s="4"/>
      <c r="R6" s="4"/>
    </row>
    <row r="7" spans="1:18">
      <c r="B7" s="207"/>
      <c r="C7" s="207"/>
      <c r="D7" s="207"/>
    </row>
    <row r="8" spans="1:18">
      <c r="A8" s="182" t="s">
        <v>6</v>
      </c>
      <c r="B8" s="180"/>
      <c r="C8" s="183" t="str">
        <f>'Orçamento '!C7:G7</f>
        <v>PROJETO DESTACAMENTO POLICIA MILITAR - ETAPA II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</row>
    <row r="9" spans="1:18">
      <c r="A9" s="182" t="s">
        <v>7</v>
      </c>
      <c r="B9" s="180"/>
      <c r="C9" s="35" t="str">
        <f>'Orçamento '!C8:D8</f>
        <v>RODOVIA SC 452 - BAIRRO PÔR-DO-SOL -  MONTE CARLO - SANTA CATARINA</v>
      </c>
      <c r="D9" s="35"/>
      <c r="E9" s="35"/>
      <c r="F9" s="35"/>
      <c r="G9" s="231"/>
      <c r="H9" s="35"/>
      <c r="I9" s="35"/>
      <c r="J9" s="35"/>
      <c r="K9" s="35"/>
      <c r="L9" s="35"/>
      <c r="M9" s="35"/>
      <c r="N9" s="35"/>
      <c r="O9" s="35"/>
      <c r="P9" s="35"/>
    </row>
    <row r="10" spans="1:18">
      <c r="A10" s="182" t="s">
        <v>8</v>
      </c>
      <c r="B10" s="180"/>
      <c r="C10" s="44" t="str">
        <f>'Orçamento '!C9:D9</f>
        <v>10 DE JULHO DE 2023</v>
      </c>
      <c r="D10" s="2"/>
      <c r="E10" s="8"/>
      <c r="F10" s="8"/>
      <c r="G10" s="232"/>
      <c r="H10" s="8"/>
      <c r="I10" s="8"/>
      <c r="J10" s="8"/>
      <c r="K10" s="8"/>
      <c r="L10" s="8"/>
      <c r="M10" s="8"/>
      <c r="N10" s="8"/>
      <c r="O10" s="8"/>
      <c r="P10" s="8"/>
      <c r="R10" t="s">
        <v>17</v>
      </c>
    </row>
    <row r="11" spans="1:18">
      <c r="A11" s="180"/>
      <c r="B11" s="180"/>
      <c r="C11" s="2"/>
      <c r="D11" s="2"/>
      <c r="E11" s="8"/>
      <c r="F11" s="8"/>
      <c r="G11" s="232"/>
      <c r="H11" s="8"/>
      <c r="I11" s="8"/>
      <c r="J11" s="8"/>
      <c r="K11" s="8"/>
      <c r="L11" s="8"/>
      <c r="M11" s="8"/>
      <c r="N11" s="8"/>
      <c r="O11" s="8"/>
      <c r="P11" s="8"/>
    </row>
    <row r="12" spans="1:18" ht="15.75">
      <c r="A12" s="2"/>
      <c r="B12" s="209" t="s">
        <v>327</v>
      </c>
      <c r="C12" s="209"/>
      <c r="D12" s="209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</row>
    <row r="13" spans="1:18" ht="15.75" thickBot="1">
      <c r="A13" s="2"/>
      <c r="B13" s="180"/>
      <c r="C13" s="180"/>
      <c r="D13" s="180"/>
      <c r="E13" s="8"/>
      <c r="F13" s="8"/>
      <c r="G13" s="232"/>
      <c r="H13" s="8"/>
      <c r="I13" s="8"/>
      <c r="J13" s="8"/>
      <c r="K13" s="8"/>
      <c r="L13" s="8"/>
      <c r="M13" s="8"/>
      <c r="N13" s="8"/>
      <c r="O13" s="8"/>
      <c r="P13" s="8"/>
    </row>
    <row r="14" spans="1:18">
      <c r="B14" s="201" t="s">
        <v>0</v>
      </c>
      <c r="C14" s="202"/>
      <c r="D14" s="199" t="s">
        <v>12</v>
      </c>
      <c r="E14" s="192" t="s">
        <v>13</v>
      </c>
      <c r="F14" s="198"/>
      <c r="G14" s="192" t="s">
        <v>14</v>
      </c>
      <c r="H14" s="198"/>
      <c r="I14" s="192" t="s">
        <v>63</v>
      </c>
      <c r="J14" s="198"/>
      <c r="K14" s="192" t="s">
        <v>64</v>
      </c>
      <c r="L14" s="198"/>
      <c r="M14" s="192" t="s">
        <v>65</v>
      </c>
      <c r="N14" s="198"/>
      <c r="O14" s="192" t="s">
        <v>66</v>
      </c>
      <c r="P14" s="198"/>
      <c r="Q14" s="192" t="s">
        <v>3</v>
      </c>
      <c r="R14" s="193"/>
    </row>
    <row r="15" spans="1:18">
      <c r="B15" s="203"/>
      <c r="C15" s="204"/>
      <c r="D15" s="200"/>
      <c r="E15" s="14" t="s">
        <v>15</v>
      </c>
      <c r="F15" s="14" t="s">
        <v>16</v>
      </c>
      <c r="G15" s="233" t="s">
        <v>15</v>
      </c>
      <c r="H15" s="14" t="s">
        <v>16</v>
      </c>
      <c r="I15" s="14" t="s">
        <v>15</v>
      </c>
      <c r="J15" s="14" t="s">
        <v>16</v>
      </c>
      <c r="K15" s="14" t="s">
        <v>15</v>
      </c>
      <c r="L15" s="14" t="s">
        <v>16</v>
      </c>
      <c r="M15" s="14" t="s">
        <v>15</v>
      </c>
      <c r="N15" s="14" t="s">
        <v>16</v>
      </c>
      <c r="O15" s="14" t="s">
        <v>15</v>
      </c>
      <c r="P15" s="14" t="s">
        <v>16</v>
      </c>
      <c r="Q15" s="14" t="s">
        <v>15</v>
      </c>
      <c r="R15" s="15" t="s">
        <v>16</v>
      </c>
    </row>
    <row r="16" spans="1:18">
      <c r="B16" s="196" t="s">
        <v>9</v>
      </c>
      <c r="C16" s="197"/>
      <c r="D16" s="93">
        <f>SUM('Orçamento '!J19)</f>
        <v>4000.2</v>
      </c>
      <c r="E16" s="225">
        <v>1</v>
      </c>
      <c r="F16" s="91">
        <f>D16</f>
        <v>4000.2</v>
      </c>
      <c r="G16" s="234"/>
      <c r="H16" s="45"/>
      <c r="I16" s="234"/>
      <c r="J16" s="45"/>
      <c r="K16" s="234"/>
      <c r="L16" s="45"/>
      <c r="M16" s="234"/>
      <c r="N16" s="45"/>
      <c r="O16" s="234"/>
      <c r="P16" s="45"/>
      <c r="Q16" s="238">
        <f>SUM(E16,G16,I16,K16,M16%)</f>
        <v>1</v>
      </c>
      <c r="R16" s="93">
        <f>D16</f>
        <v>4000.2</v>
      </c>
    </row>
    <row r="17" spans="2:18">
      <c r="B17" s="205" t="s">
        <v>314</v>
      </c>
      <c r="C17" s="206"/>
      <c r="D17" s="92">
        <f>'Orçamento '!J24</f>
        <v>3274.8220000000001</v>
      </c>
      <c r="E17" s="225">
        <v>1</v>
      </c>
      <c r="F17" s="91">
        <f>D17*E17</f>
        <v>3274.8220000000001</v>
      </c>
      <c r="G17" s="234"/>
      <c r="H17" s="45"/>
      <c r="I17" s="234"/>
      <c r="J17" s="45"/>
      <c r="K17" s="234"/>
      <c r="L17" s="45"/>
      <c r="M17" s="234"/>
      <c r="N17" s="45"/>
      <c r="O17" s="234"/>
      <c r="P17" s="45"/>
      <c r="Q17" s="238">
        <f>SUM(E17,G17,I17,K17,M17,O17%)</f>
        <v>1</v>
      </c>
      <c r="R17" s="93">
        <f t="shared" ref="R17:R35" si="0">D17</f>
        <v>3274.8220000000001</v>
      </c>
    </row>
    <row r="18" spans="2:18">
      <c r="B18" s="194" t="s">
        <v>315</v>
      </c>
      <c r="C18" s="195"/>
      <c r="D18" s="92">
        <f>SUM('Orçamento '!J32)</f>
        <v>19708.593679000001</v>
      </c>
      <c r="E18" s="225">
        <v>0.5</v>
      </c>
      <c r="F18" s="91">
        <f>D18*E18</f>
        <v>9854.2968395000007</v>
      </c>
      <c r="G18" s="234">
        <v>0.5</v>
      </c>
      <c r="H18" s="91">
        <f>D18*G18</f>
        <v>9854.2968395000007</v>
      </c>
      <c r="I18" s="234"/>
      <c r="J18" s="45"/>
      <c r="K18" s="234"/>
      <c r="L18" s="45"/>
      <c r="M18" s="234"/>
      <c r="N18" s="45"/>
      <c r="O18" s="234"/>
      <c r="P18" s="45"/>
      <c r="Q18" s="238">
        <f t="shared" ref="Q18:Q35" si="1">SUM(E18,G18,I18,K18,M18,O18%)</f>
        <v>1</v>
      </c>
      <c r="R18" s="93">
        <f t="shared" si="0"/>
        <v>19708.593679000001</v>
      </c>
    </row>
    <row r="19" spans="2:18">
      <c r="B19" s="205" t="s">
        <v>316</v>
      </c>
      <c r="C19" s="206"/>
      <c r="D19" s="92">
        <f>SUM('Orçamento '!J42)</f>
        <v>50479.999369999998</v>
      </c>
      <c r="E19" s="226"/>
      <c r="F19" s="45"/>
      <c r="G19" s="235">
        <v>0.2</v>
      </c>
      <c r="H19" s="91">
        <f>D19*G19</f>
        <v>10095.999874000001</v>
      </c>
      <c r="I19" s="235">
        <v>0.2</v>
      </c>
      <c r="J19" s="90">
        <f>D19*I19</f>
        <v>10095.999874000001</v>
      </c>
      <c r="K19" s="235">
        <v>0.3</v>
      </c>
      <c r="L19" s="90">
        <f>D19*K19</f>
        <v>15143.999810999998</v>
      </c>
      <c r="M19" s="235">
        <v>0.3</v>
      </c>
      <c r="N19" s="90">
        <f>D19*0.3</f>
        <v>15143.999810999998</v>
      </c>
      <c r="O19" s="235"/>
      <c r="P19" s="53"/>
      <c r="Q19" s="238">
        <f t="shared" si="1"/>
        <v>1</v>
      </c>
      <c r="R19" s="93">
        <f t="shared" si="0"/>
        <v>50479.999369999998</v>
      </c>
    </row>
    <row r="20" spans="2:18">
      <c r="B20" s="205" t="s">
        <v>317</v>
      </c>
      <c r="C20" s="206"/>
      <c r="D20" s="92">
        <f>SUM('Orçamento '!J46)</f>
        <v>4789.5418559999998</v>
      </c>
      <c r="E20" s="226"/>
      <c r="F20" s="45"/>
      <c r="G20" s="235"/>
      <c r="H20" s="53"/>
      <c r="I20" s="235"/>
      <c r="J20" s="53"/>
      <c r="K20" s="235">
        <v>1</v>
      </c>
      <c r="L20" s="90">
        <f t="shared" ref="L20:L22" si="2">D20*K20</f>
        <v>4789.5418559999998</v>
      </c>
      <c r="M20" s="235"/>
      <c r="N20" s="53"/>
      <c r="O20" s="235"/>
      <c r="P20" s="53"/>
      <c r="Q20" s="238">
        <f t="shared" si="1"/>
        <v>1</v>
      </c>
      <c r="R20" s="93">
        <f t="shared" si="0"/>
        <v>4789.5418559999998</v>
      </c>
    </row>
    <row r="21" spans="2:18">
      <c r="B21" s="205" t="s">
        <v>318</v>
      </c>
      <c r="C21" s="206"/>
      <c r="D21" s="92">
        <f>SUM('Orçamento '!J57)</f>
        <v>24345.611709999997</v>
      </c>
      <c r="E21" s="226"/>
      <c r="F21" s="45"/>
      <c r="G21" s="235"/>
      <c r="H21" s="53"/>
      <c r="I21" s="235"/>
      <c r="J21" s="53"/>
      <c r="K21" s="235">
        <v>0.2</v>
      </c>
      <c r="L21" s="90">
        <f t="shared" si="2"/>
        <v>4869.1223419999997</v>
      </c>
      <c r="M21" s="235">
        <v>0.8</v>
      </c>
      <c r="N21" s="90">
        <f>D21*M21</f>
        <v>19476.489367999999</v>
      </c>
      <c r="O21" s="235"/>
      <c r="P21" s="53"/>
      <c r="Q21" s="238">
        <f t="shared" si="1"/>
        <v>1</v>
      </c>
      <c r="R21" s="93">
        <f t="shared" si="0"/>
        <v>24345.611709999997</v>
      </c>
    </row>
    <row r="22" spans="2:18">
      <c r="B22" s="205" t="s">
        <v>319</v>
      </c>
      <c r="C22" s="206"/>
      <c r="D22" s="92">
        <f>SUM('Orçamento '!J66)</f>
        <v>9503.2667440000005</v>
      </c>
      <c r="E22" s="226"/>
      <c r="F22" s="45"/>
      <c r="G22" s="235"/>
      <c r="H22" s="53"/>
      <c r="I22" s="235"/>
      <c r="J22" s="53"/>
      <c r="K22" s="235">
        <v>0.2</v>
      </c>
      <c r="L22" s="90">
        <f t="shared" si="2"/>
        <v>1900.6533488000002</v>
      </c>
      <c r="M22" s="235">
        <v>0.8</v>
      </c>
      <c r="N22" s="90">
        <f>D22*M22</f>
        <v>7602.6133952000009</v>
      </c>
      <c r="O22" s="235"/>
      <c r="P22" s="53"/>
      <c r="Q22" s="238">
        <f t="shared" si="1"/>
        <v>1</v>
      </c>
      <c r="R22" s="93">
        <f t="shared" si="0"/>
        <v>9503.2667440000005</v>
      </c>
    </row>
    <row r="23" spans="2:18">
      <c r="B23" s="205" t="s">
        <v>320</v>
      </c>
      <c r="C23" s="206"/>
      <c r="D23" s="92">
        <f>SUM('Orçamento '!J72)</f>
        <v>1544.1295</v>
      </c>
      <c r="E23" s="226"/>
      <c r="F23" s="45"/>
      <c r="G23" s="235"/>
      <c r="H23" s="53"/>
      <c r="I23" s="235"/>
      <c r="J23" s="53"/>
      <c r="K23" s="235"/>
      <c r="L23" s="53"/>
      <c r="M23" s="235">
        <v>1</v>
      </c>
      <c r="N23" s="90">
        <f>D23*M23</f>
        <v>1544.1295</v>
      </c>
      <c r="O23" s="235"/>
      <c r="P23" s="53"/>
      <c r="Q23" s="238">
        <f t="shared" si="1"/>
        <v>1</v>
      </c>
      <c r="R23" s="93">
        <f t="shared" si="0"/>
        <v>1544.1295</v>
      </c>
    </row>
    <row r="24" spans="2:18">
      <c r="B24" s="205" t="s">
        <v>321</v>
      </c>
      <c r="C24" s="206"/>
      <c r="D24" s="92">
        <f>SUM('Orçamento '!J79)</f>
        <v>2362.6005</v>
      </c>
      <c r="E24" s="226"/>
      <c r="F24" s="45"/>
      <c r="G24" s="235"/>
      <c r="H24" s="53"/>
      <c r="I24" s="235"/>
      <c r="J24" s="53"/>
      <c r="K24" s="235"/>
      <c r="L24" s="53"/>
      <c r="M24" s="235">
        <v>1</v>
      </c>
      <c r="N24" s="90">
        <f>D24*M24</f>
        <v>2362.6005</v>
      </c>
      <c r="O24" s="235"/>
      <c r="P24" s="53"/>
      <c r="Q24" s="238">
        <f>SUM(E24,G24,I24,K24,M24,O24%)</f>
        <v>1</v>
      </c>
      <c r="R24" s="93">
        <f t="shared" si="0"/>
        <v>2362.6005</v>
      </c>
    </row>
    <row r="25" spans="2:18">
      <c r="B25" s="205" t="s">
        <v>322</v>
      </c>
      <c r="C25" s="206"/>
      <c r="D25" s="92">
        <f>'Orçamento '!J98</f>
        <v>6783.7155720000001</v>
      </c>
      <c r="E25" s="226"/>
      <c r="F25" s="45"/>
      <c r="G25" s="235"/>
      <c r="H25" s="53"/>
      <c r="I25" s="235"/>
      <c r="J25" s="53"/>
      <c r="K25" s="235"/>
      <c r="L25" s="53"/>
      <c r="M25" s="235"/>
      <c r="N25" s="53"/>
      <c r="O25" s="235">
        <v>1</v>
      </c>
      <c r="P25" s="90">
        <f>D25*O25</f>
        <v>6783.7155720000001</v>
      </c>
      <c r="Q25" s="238">
        <f>SUM(E25,G25,I25,K25,M25,O25)</f>
        <v>1</v>
      </c>
      <c r="R25" s="93">
        <f t="shared" si="0"/>
        <v>6783.7155720000001</v>
      </c>
    </row>
    <row r="26" spans="2:18">
      <c r="B26" s="205" t="s">
        <v>323</v>
      </c>
      <c r="C26" s="206"/>
      <c r="D26" s="92">
        <f>SUM('Orçamento '!J104)</f>
        <v>1751.4315999999999</v>
      </c>
      <c r="E26" s="226"/>
      <c r="F26" s="45"/>
      <c r="G26" s="235"/>
      <c r="H26" s="53"/>
      <c r="I26" s="235"/>
      <c r="J26" s="53"/>
      <c r="K26" s="235"/>
      <c r="L26" s="53"/>
      <c r="M26" s="235"/>
      <c r="N26" s="53"/>
      <c r="O26" s="235">
        <v>1</v>
      </c>
      <c r="P26" s="90">
        <f>D26*O26</f>
        <v>1751.4315999999999</v>
      </c>
      <c r="Q26" s="238">
        <f>SUM(E26,G26,I26,K26,M26,O26)</f>
        <v>1</v>
      </c>
      <c r="R26" s="93">
        <f t="shared" si="0"/>
        <v>1751.4315999999999</v>
      </c>
    </row>
    <row r="27" spans="2:18">
      <c r="B27" s="205" t="s">
        <v>324</v>
      </c>
      <c r="C27" s="206"/>
      <c r="D27" s="92">
        <f>'Orçamento '!J124</f>
        <v>17910.797500000004</v>
      </c>
      <c r="E27" s="226"/>
      <c r="F27" s="45"/>
      <c r="G27" s="235">
        <v>0.2</v>
      </c>
      <c r="H27" s="90">
        <f>D27*G27</f>
        <v>3582.1595000000011</v>
      </c>
      <c r="I27" s="235"/>
      <c r="J27" s="53"/>
      <c r="K27" s="235">
        <v>0.2</v>
      </c>
      <c r="L27" s="90">
        <f>D27*K27</f>
        <v>3582.1595000000011</v>
      </c>
      <c r="M27" s="235">
        <v>0.4</v>
      </c>
      <c r="N27" s="90">
        <f>D27*M27</f>
        <v>7164.3190000000022</v>
      </c>
      <c r="O27" s="235">
        <v>0.2</v>
      </c>
      <c r="P27" s="90">
        <f>D27*O27</f>
        <v>3582.1595000000011</v>
      </c>
      <c r="Q27" s="238">
        <f>SUM(O27,M27,K27,G27)</f>
        <v>1</v>
      </c>
      <c r="R27" s="93">
        <f t="shared" si="0"/>
        <v>17910.797500000004</v>
      </c>
    </row>
    <row r="28" spans="2:18">
      <c r="B28" s="205" t="s">
        <v>325</v>
      </c>
      <c r="C28" s="206"/>
      <c r="D28" s="92">
        <f>'Orçamento '!J132</f>
        <v>12043.484500000002</v>
      </c>
      <c r="E28" s="226"/>
      <c r="F28" s="45"/>
      <c r="G28" s="235"/>
      <c r="H28" s="53"/>
      <c r="I28" s="235"/>
      <c r="J28" s="53"/>
      <c r="K28" s="235">
        <v>0.5</v>
      </c>
      <c r="L28" s="90">
        <f>D28*K28</f>
        <v>6021.7422500000011</v>
      </c>
      <c r="M28" s="235">
        <v>0.5</v>
      </c>
      <c r="N28" s="90">
        <f>D28*M28</f>
        <v>6021.7422500000011</v>
      </c>
      <c r="O28" s="235"/>
      <c r="P28" s="53"/>
      <c r="Q28" s="238">
        <f t="shared" si="1"/>
        <v>1</v>
      </c>
      <c r="R28" s="93">
        <f>D28</f>
        <v>12043.484500000002</v>
      </c>
    </row>
    <row r="29" spans="2:18" s="153" customFormat="1">
      <c r="B29" s="236" t="s">
        <v>328</v>
      </c>
      <c r="C29" s="237"/>
      <c r="D29" s="92">
        <f>'Orçamento '!J157</f>
        <v>38848.395760000007</v>
      </c>
      <c r="E29" s="226">
        <v>0.2</v>
      </c>
      <c r="F29" s="91">
        <f t="shared" ref="F19:F30" si="3">D29*E29</f>
        <v>7769.6791520000015</v>
      </c>
      <c r="G29" s="235">
        <v>0.3</v>
      </c>
      <c r="H29" s="90">
        <f>D29*G29</f>
        <v>11654.518728000001</v>
      </c>
      <c r="I29" s="235">
        <v>0.5</v>
      </c>
      <c r="J29" s="90">
        <f t="shared" ref="J20:J30" si="4">D29*I29</f>
        <v>19424.197880000003</v>
      </c>
      <c r="K29" s="235"/>
      <c r="L29" s="53"/>
      <c r="M29" s="235"/>
      <c r="N29" s="53"/>
      <c r="O29" s="235"/>
      <c r="P29" s="53"/>
      <c r="Q29" s="238">
        <f t="shared" si="1"/>
        <v>1</v>
      </c>
      <c r="R29" s="93">
        <f t="shared" ref="R29:R34" si="5">D29</f>
        <v>38848.395760000007</v>
      </c>
    </row>
    <row r="30" spans="2:18" s="153" customFormat="1">
      <c r="B30" s="236" t="s">
        <v>329</v>
      </c>
      <c r="C30" s="237"/>
      <c r="D30" s="92">
        <f>'Orçamento '!J175</f>
        <v>27947.99973</v>
      </c>
      <c r="E30" s="226">
        <v>0.3</v>
      </c>
      <c r="F30" s="91">
        <f t="shared" si="3"/>
        <v>8384.3999189999995</v>
      </c>
      <c r="G30" s="235">
        <v>0.5</v>
      </c>
      <c r="H30" s="90">
        <f t="shared" ref="H28:H30" si="6">D30*G30</f>
        <v>13973.999865</v>
      </c>
      <c r="I30" s="235">
        <v>0.2</v>
      </c>
      <c r="J30" s="90">
        <f t="shared" si="4"/>
        <v>5589.5999460000003</v>
      </c>
      <c r="K30" s="235"/>
      <c r="L30" s="53"/>
      <c r="M30" s="235"/>
      <c r="N30" s="53"/>
      <c r="O30" s="235"/>
      <c r="P30" s="53"/>
      <c r="Q30" s="238">
        <f t="shared" si="1"/>
        <v>1</v>
      </c>
      <c r="R30" s="93">
        <f t="shared" si="5"/>
        <v>27947.99973</v>
      </c>
    </row>
    <row r="31" spans="2:18" s="153" customFormat="1">
      <c r="B31" s="236" t="s">
        <v>330</v>
      </c>
      <c r="C31" s="237"/>
      <c r="D31" s="92">
        <f>'Orçamento '!J183</f>
        <v>11739.343424999999</v>
      </c>
      <c r="E31" s="226"/>
      <c r="F31" s="53"/>
      <c r="G31" s="235"/>
      <c r="H31" s="53"/>
      <c r="I31" s="235"/>
      <c r="J31" s="53"/>
      <c r="K31" s="235">
        <v>0.3</v>
      </c>
      <c r="L31" s="90">
        <f t="shared" ref="L29:L32" si="7">D31*K31</f>
        <v>3521.8030274999996</v>
      </c>
      <c r="M31" s="235">
        <v>0.5</v>
      </c>
      <c r="N31" s="90">
        <f t="shared" ref="N29:N34" si="8">D31*M31</f>
        <v>5869.6717124999996</v>
      </c>
      <c r="O31" s="235">
        <v>0.2</v>
      </c>
      <c r="P31" s="90">
        <f t="shared" ref="P28:P34" si="9">D31*O31</f>
        <v>2347.8686849999999</v>
      </c>
      <c r="Q31" s="238">
        <f>SUM(E31,G31,I31,K31,M31,O31)</f>
        <v>1</v>
      </c>
      <c r="R31" s="93">
        <f t="shared" si="5"/>
        <v>11739.343424999999</v>
      </c>
    </row>
    <row r="32" spans="2:18" s="153" customFormat="1">
      <c r="B32" s="236" t="s">
        <v>331</v>
      </c>
      <c r="C32" s="237"/>
      <c r="D32" s="92">
        <f>'Orçamento '!J203</f>
        <v>14516.152832</v>
      </c>
      <c r="E32" s="226"/>
      <c r="F32" s="53"/>
      <c r="G32" s="235"/>
      <c r="H32" s="53"/>
      <c r="I32" s="235"/>
      <c r="J32" s="53"/>
      <c r="K32" s="235">
        <v>0.3</v>
      </c>
      <c r="L32" s="90">
        <f t="shared" si="7"/>
        <v>4354.8458495999994</v>
      </c>
      <c r="M32" s="235">
        <v>0.5</v>
      </c>
      <c r="N32" s="90">
        <f t="shared" si="8"/>
        <v>7258.0764159999999</v>
      </c>
      <c r="O32" s="235">
        <v>0.2</v>
      </c>
      <c r="P32" s="90">
        <f t="shared" si="9"/>
        <v>2903.2305664</v>
      </c>
      <c r="Q32" s="238">
        <f>SUM(E32,G32,I32,K32,M32,O32)</f>
        <v>1</v>
      </c>
      <c r="R32" s="93">
        <f t="shared" si="5"/>
        <v>14516.152832</v>
      </c>
    </row>
    <row r="33" spans="2:18" s="153" customFormat="1">
      <c r="B33" s="236" t="s">
        <v>333</v>
      </c>
      <c r="C33" s="237"/>
      <c r="D33" s="92">
        <f>'Orçamento '!J211</f>
        <v>1881.2972279999999</v>
      </c>
      <c r="E33" s="226"/>
      <c r="F33" s="53"/>
      <c r="G33" s="235"/>
      <c r="H33" s="53"/>
      <c r="I33" s="235"/>
      <c r="J33" s="53"/>
      <c r="K33" s="235"/>
      <c r="L33" s="53"/>
      <c r="M33" s="235">
        <v>0.5</v>
      </c>
      <c r="N33" s="90">
        <f t="shared" si="8"/>
        <v>940.64861399999995</v>
      </c>
      <c r="O33" s="235">
        <v>0.5</v>
      </c>
      <c r="P33" s="90">
        <f t="shared" si="9"/>
        <v>940.64861399999995</v>
      </c>
      <c r="Q33" s="238">
        <f t="shared" ref="Q33:Q35" si="10">SUM(E33,G33,I33,K33,M33,O33)</f>
        <v>1</v>
      </c>
      <c r="R33" s="93">
        <f t="shared" si="5"/>
        <v>1881.2972279999999</v>
      </c>
    </row>
    <row r="34" spans="2:18" s="153" customFormat="1">
      <c r="B34" s="236" t="s">
        <v>332</v>
      </c>
      <c r="C34" s="237"/>
      <c r="D34" s="92">
        <f>'Orçamento '!J216</f>
        <v>2213.8131999999996</v>
      </c>
      <c r="E34" s="226"/>
      <c r="F34" s="53"/>
      <c r="G34" s="235"/>
      <c r="H34" s="53"/>
      <c r="I34" s="235"/>
      <c r="J34" s="53"/>
      <c r="K34" s="235"/>
      <c r="L34" s="53"/>
      <c r="M34" s="235">
        <v>0.5</v>
      </c>
      <c r="N34" s="90">
        <f t="shared" si="8"/>
        <v>1106.9065999999998</v>
      </c>
      <c r="O34" s="235">
        <v>0.5</v>
      </c>
      <c r="P34" s="90">
        <f t="shared" si="9"/>
        <v>1106.9065999999998</v>
      </c>
      <c r="Q34" s="238">
        <f t="shared" si="10"/>
        <v>1</v>
      </c>
      <c r="R34" s="93">
        <f t="shared" si="5"/>
        <v>2213.8131999999996</v>
      </c>
    </row>
    <row r="35" spans="2:18">
      <c r="B35" s="205" t="s">
        <v>339</v>
      </c>
      <c r="C35" s="206"/>
      <c r="D35" s="92">
        <f>'Orçamento '!J136</f>
        <v>699.70600000000002</v>
      </c>
      <c r="E35" s="226"/>
      <c r="F35" s="53"/>
      <c r="G35" s="235"/>
      <c r="H35" s="53"/>
      <c r="I35" s="235"/>
      <c r="J35" s="53"/>
      <c r="K35" s="235"/>
      <c r="L35" s="53"/>
      <c r="M35" s="53"/>
      <c r="N35" s="53"/>
      <c r="O35" s="235">
        <v>1</v>
      </c>
      <c r="P35" s="90">
        <f>D35*O35</f>
        <v>699.70600000000002</v>
      </c>
      <c r="Q35" s="238">
        <f t="shared" si="10"/>
        <v>1</v>
      </c>
      <c r="R35" s="93">
        <f t="shared" si="0"/>
        <v>699.70600000000002</v>
      </c>
    </row>
    <row r="36" spans="2:18" s="6" customFormat="1" ht="15.75" thickBot="1">
      <c r="B36" s="211" t="s">
        <v>3</v>
      </c>
      <c r="C36" s="212"/>
      <c r="D36" s="105">
        <f>SUM(D16:D35)</f>
        <v>256344.90270600002</v>
      </c>
      <c r="E36" s="227"/>
      <c r="F36" s="106">
        <f>SUM(F16:F35)</f>
        <v>33283.397910500003</v>
      </c>
      <c r="G36" s="106"/>
      <c r="H36" s="106">
        <f>SUM(H16:H35)</f>
        <v>49160.974806500002</v>
      </c>
      <c r="I36" s="106"/>
      <c r="J36" s="106">
        <f>SUM(J16:J35)</f>
        <v>35109.797700000003</v>
      </c>
      <c r="K36" s="106"/>
      <c r="L36" s="106">
        <f>SUM(L16:L34)</f>
        <v>44183.867984899996</v>
      </c>
      <c r="M36" s="106"/>
      <c r="N36" s="106">
        <f>SUM(N16:N34)</f>
        <v>74491.197166700018</v>
      </c>
      <c r="O36" s="106"/>
      <c r="P36" s="106">
        <f>SUM(P16:P35)</f>
        <v>20115.6671374</v>
      </c>
      <c r="Q36" s="16"/>
      <c r="R36" s="17">
        <f>SUM(F36:P36)</f>
        <v>256344.90270600002</v>
      </c>
    </row>
    <row r="37" spans="2:18">
      <c r="B37" s="2"/>
      <c r="C37" s="2"/>
      <c r="D37" s="2"/>
      <c r="E37" s="8"/>
      <c r="F37" s="8"/>
      <c r="G37" s="232"/>
      <c r="H37" s="8"/>
      <c r="I37" s="8"/>
      <c r="J37" s="8"/>
      <c r="K37" s="8"/>
      <c r="L37" s="8"/>
      <c r="M37" s="8"/>
      <c r="N37" s="8"/>
      <c r="O37" s="8"/>
      <c r="P37" s="8"/>
      <c r="Q37" s="2"/>
      <c r="R37" s="2"/>
    </row>
    <row r="38" spans="2:18">
      <c r="B38" s="2"/>
      <c r="C38" s="2"/>
      <c r="D38" s="2"/>
      <c r="E38" s="8"/>
      <c r="F38" s="8"/>
      <c r="G38" s="232"/>
      <c r="H38" s="8"/>
      <c r="I38" s="8"/>
      <c r="J38" s="8"/>
      <c r="K38" s="8"/>
      <c r="L38" s="8"/>
      <c r="M38" s="8"/>
      <c r="N38" s="8"/>
      <c r="O38" s="8"/>
      <c r="P38" s="8"/>
      <c r="Q38" s="54"/>
      <c r="R38" s="54"/>
    </row>
    <row r="39" spans="2:18">
      <c r="P39" s="107"/>
    </row>
    <row r="40" spans="2:18">
      <c r="E40" s="190" t="s">
        <v>334</v>
      </c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</row>
    <row r="41" spans="2:18">
      <c r="E41" s="190" t="s">
        <v>335</v>
      </c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</row>
  </sheetData>
  <mergeCells count="42">
    <mergeCell ref="B30:C30"/>
    <mergeCell ref="B29:C29"/>
    <mergeCell ref="E40:P40"/>
    <mergeCell ref="E41:P41"/>
    <mergeCell ref="A11:B11"/>
    <mergeCell ref="B22:C22"/>
    <mergeCell ref="B23:C23"/>
    <mergeCell ref="B24:C24"/>
    <mergeCell ref="B28:C28"/>
    <mergeCell ref="B31:C31"/>
    <mergeCell ref="B32:C32"/>
    <mergeCell ref="B33:C33"/>
    <mergeCell ref="B34:C34"/>
    <mergeCell ref="A10:B10"/>
    <mergeCell ref="B12:P12"/>
    <mergeCell ref="B13:D13"/>
    <mergeCell ref="B36:C36"/>
    <mergeCell ref="B25:C25"/>
    <mergeCell ref="B26:C26"/>
    <mergeCell ref="B27:C27"/>
    <mergeCell ref="B35:C35"/>
    <mergeCell ref="G14:H14"/>
    <mergeCell ref="I14:J14"/>
    <mergeCell ref="K14:L14"/>
    <mergeCell ref="B19:C19"/>
    <mergeCell ref="B20:C20"/>
    <mergeCell ref="B21:C21"/>
    <mergeCell ref="B2:C5"/>
    <mergeCell ref="B6:D6"/>
    <mergeCell ref="B7:D7"/>
    <mergeCell ref="A8:B8"/>
    <mergeCell ref="A9:B9"/>
    <mergeCell ref="C8:P8"/>
    <mergeCell ref="Q14:R14"/>
    <mergeCell ref="B18:C18"/>
    <mergeCell ref="B16:C16"/>
    <mergeCell ref="E14:F14"/>
    <mergeCell ref="D14:D15"/>
    <mergeCell ref="B14:C15"/>
    <mergeCell ref="B17:C17"/>
    <mergeCell ref="M14:N14"/>
    <mergeCell ref="O14:P14"/>
  </mergeCells>
  <pageMargins left="0.23622047244094491" right="0.21" top="0.43307086614173229" bottom="0.59055118110236227" header="0.31496062992125984" footer="0.31496062992125984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workbookViewId="0">
      <selection activeCell="B31" sqref="B31"/>
    </sheetView>
  </sheetViews>
  <sheetFormatPr defaultRowHeight="15"/>
  <cols>
    <col min="2" max="2" width="43.28515625" customWidth="1"/>
  </cols>
  <sheetData>
    <row r="2" spans="1:7" ht="20.25">
      <c r="B2" s="59" t="s">
        <v>30</v>
      </c>
    </row>
    <row r="3" spans="1:7" ht="18">
      <c r="B3" s="60" t="s">
        <v>31</v>
      </c>
    </row>
    <row r="4" spans="1:7" ht="15.75" thickBot="1">
      <c r="A4" s="4"/>
      <c r="B4" s="4"/>
      <c r="C4" s="4"/>
      <c r="D4" s="4"/>
      <c r="E4" s="4"/>
      <c r="F4" s="4"/>
      <c r="G4" s="78"/>
    </row>
    <row r="7" spans="1:7" ht="19.5">
      <c r="B7" s="213" t="s">
        <v>32</v>
      </c>
      <c r="C7" s="207"/>
    </row>
    <row r="10" spans="1:7">
      <c r="B10" s="9"/>
    </row>
    <row r="11" spans="1:7">
      <c r="B11" s="214" t="s">
        <v>33</v>
      </c>
      <c r="C11" s="214"/>
    </row>
    <row r="12" spans="1:7" ht="16.5" customHeight="1">
      <c r="B12" s="61" t="s">
        <v>34</v>
      </c>
      <c r="C12" s="62">
        <v>2.7E-2</v>
      </c>
      <c r="E12" s="63"/>
      <c r="F12" s="64"/>
    </row>
    <row r="13" spans="1:7" ht="16.5" customHeight="1">
      <c r="B13" s="61" t="s">
        <v>35</v>
      </c>
      <c r="C13" s="62">
        <v>0.03</v>
      </c>
      <c r="E13" s="63"/>
      <c r="F13" s="64"/>
    </row>
    <row r="14" spans="1:7" ht="15" customHeight="1">
      <c r="B14" s="61" t="s">
        <v>36</v>
      </c>
      <c r="C14" s="62">
        <v>3.8800000000000001E-2</v>
      </c>
      <c r="E14" s="63"/>
      <c r="F14" s="64"/>
    </row>
    <row r="15" spans="1:7" ht="15.75" customHeight="1">
      <c r="B15" s="61" t="s">
        <v>37</v>
      </c>
      <c r="C15" s="62">
        <v>0.08</v>
      </c>
      <c r="E15" s="63"/>
      <c r="F15" s="64"/>
    </row>
    <row r="16" spans="1:7" ht="15" customHeight="1">
      <c r="B16" s="61" t="s">
        <v>38</v>
      </c>
      <c r="C16" s="65">
        <f>SUM(C17:C19)</f>
        <v>6.6500000000000004E-2</v>
      </c>
      <c r="E16" s="66"/>
      <c r="F16" s="67"/>
    </row>
    <row r="17" spans="1:7">
      <c r="B17" s="61" t="s">
        <v>39</v>
      </c>
      <c r="C17" s="68">
        <v>0.03</v>
      </c>
      <c r="E17" s="63"/>
      <c r="F17" s="64"/>
    </row>
    <row r="18" spans="1:7">
      <c r="B18" s="61" t="s">
        <v>40</v>
      </c>
      <c r="C18" s="68">
        <v>6.4999999999999997E-3</v>
      </c>
      <c r="E18" s="63"/>
      <c r="F18" s="64"/>
    </row>
    <row r="19" spans="1:7">
      <c r="B19" s="61" t="s">
        <v>41</v>
      </c>
      <c r="C19" s="68">
        <v>0.03</v>
      </c>
      <c r="E19" s="66"/>
      <c r="F19" s="67"/>
      <c r="G19" s="69"/>
    </row>
    <row r="20" spans="1:7">
      <c r="B20" s="70" t="s">
        <v>42</v>
      </c>
      <c r="C20" s="239">
        <f>(((1+C12+C14)*(1+C13)*(1+C15))/(1-C16))-1</f>
        <v>0.27005454740224955</v>
      </c>
      <c r="E20" s="71"/>
    </row>
    <row r="21" spans="1:7">
      <c r="B21" s="72" t="s">
        <v>43</v>
      </c>
    </row>
    <row r="24" spans="1:7">
      <c r="A24" s="215" t="s">
        <v>336</v>
      </c>
      <c r="B24" s="207"/>
      <c r="C24" s="207"/>
    </row>
    <row r="25" spans="1:7">
      <c r="A25" s="73"/>
    </row>
    <row r="27" spans="1:7">
      <c r="A27" s="215" t="s">
        <v>44</v>
      </c>
      <c r="B27" s="207"/>
      <c r="C27" s="207"/>
    </row>
    <row r="31" spans="1:7">
      <c r="B31" s="74"/>
      <c r="C31" s="74"/>
      <c r="D31" s="74"/>
    </row>
    <row r="32" spans="1:7">
      <c r="B32" s="190" t="s">
        <v>334</v>
      </c>
      <c r="C32" s="190"/>
      <c r="D32" s="190"/>
    </row>
    <row r="33" spans="1:6">
      <c r="B33" s="190" t="s">
        <v>337</v>
      </c>
      <c r="C33" s="190"/>
      <c r="D33" s="190"/>
    </row>
    <row r="34" spans="1:6">
      <c r="C34" s="9"/>
    </row>
    <row r="35" spans="1:6" ht="15.75" thickBot="1">
      <c r="A35" s="4"/>
      <c r="B35" s="4"/>
      <c r="C35" s="4"/>
      <c r="D35" s="4"/>
      <c r="E35" s="4"/>
      <c r="F35" s="4"/>
    </row>
    <row r="36" spans="1:6">
      <c r="A36" s="75" t="s">
        <v>45</v>
      </c>
    </row>
    <row r="37" spans="1:6">
      <c r="B37" s="76" t="s">
        <v>46</v>
      </c>
    </row>
  </sheetData>
  <mergeCells count="6">
    <mergeCell ref="B33:D33"/>
    <mergeCell ref="B7:C7"/>
    <mergeCell ref="B11:C11"/>
    <mergeCell ref="A24:C24"/>
    <mergeCell ref="A27:C27"/>
    <mergeCell ref="B32:D3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Orçamento </vt:lpstr>
      <vt:lpstr>Cronograma</vt:lpstr>
      <vt:lpstr>BDI</vt:lpstr>
      <vt:lpstr>BDI!Area_de_impressao</vt:lpstr>
      <vt:lpstr>'Orçamento 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ConceitoS</dc:creator>
  <cp:lastModifiedBy>Mayco</cp:lastModifiedBy>
  <cp:lastPrinted>2023-07-12T11:31:58Z</cp:lastPrinted>
  <dcterms:created xsi:type="dcterms:W3CDTF">2010-08-19T11:51:06Z</dcterms:created>
  <dcterms:modified xsi:type="dcterms:W3CDTF">2023-07-12T11:33:00Z</dcterms:modified>
</cp:coreProperties>
</file>